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C8F" lockStructure="1"/>
  <bookViews>
    <workbookView xWindow="480" yWindow="60" windowWidth="12240" windowHeight="7365" tabRatio="291"/>
  </bookViews>
  <sheets>
    <sheet name="Bilan aéraulique simplifié" sheetId="1" r:id="rId1"/>
    <sheet name="Niveau d'empoussièrement" sheetId="2" state="hidden" r:id="rId2"/>
    <sheet name="Entrée d'air" sheetId="4" state="hidden" r:id="rId3"/>
    <sheet name="Feuil1" sheetId="5" state="hidden" r:id="rId4"/>
    <sheet name="Feuil2" sheetId="6" state="hidden" r:id="rId5"/>
  </sheets>
  <definedNames>
    <definedName name="Danf">'Bilan aéraulique simplifié'!$D$104</definedName>
    <definedName name="Danfarrond">'Bilan aéraulique simplifié'!$D$105</definedName>
    <definedName name="Dea">'Bilan aéraulique simplifié'!$D$125</definedName>
    <definedName name="DEc">'Bilan aéraulique simplifié'!$D$114</definedName>
    <definedName name="Dectotal">'Bilan aéraulique simplifié'!$D$115</definedName>
    <definedName name="DEnm">'Bilan aéraulique simplifié'!$D$140</definedName>
    <definedName name="Dep">'Bilan aéraulique simplifié'!$D$146</definedName>
    <definedName name="Ds">'Bilan aéraulique simplifié'!$D$66</definedName>
    <definedName name="Dsd">'Bilan aéraulique simplifié'!$D$83</definedName>
    <definedName name="DsDtotal">'Bilan aéraulique simplifié'!$D$84</definedName>
    <definedName name="Dstotal">'Bilan aéraulique simplifié'!$D$67</definedName>
    <definedName name="DtEm">'Bilan aéraulique simplifié'!$D$130</definedName>
    <definedName name="Dz">'Bilan aéraulique simplifié'!$D$91</definedName>
    <definedName name="Dzone2">'Bilan aéraulique simplifié'!$E$91</definedName>
    <definedName name="Dzone3">'Bilan aéraulique simplifié'!$F$91</definedName>
    <definedName name="H">'Bilan aéraulique simplifié'!$D$165</definedName>
    <definedName name="J">'Bilan aéraulique simplifié'!#REF!</definedName>
    <definedName name="K">'Bilan aéraulique simplifié'!$D$100</definedName>
    <definedName name="N">'Bilan aéraulique simplifié'!#REF!</definedName>
    <definedName name="niveau">'Niveau d''empoussièrement'!$A$1:$D$2</definedName>
    <definedName name="S">'Bilan aéraulique simplifié'!#REF!</definedName>
    <definedName name="temps_douche">'Bilan aéraulique simplifié'!$D$54</definedName>
    <definedName name="temps_douche_déchets">'Bilan aéraulique simplifié'!$D$73</definedName>
    <definedName name="TF">'Bilan aéraulique simplifié'!$D$139</definedName>
    <definedName name="V">'Bilan aéraulique simplifié'!$D$32</definedName>
    <definedName name="Va">'Bilan aéraulique simplifié'!$D$102</definedName>
    <definedName name="Vol_compartiment">'Bilan aéraulique simplifié'!#REF!</definedName>
    <definedName name="Vol_déchets">'Bilan aéraulique simplifié'!$D$82</definedName>
    <definedName name="Y">'Bilan aéraulique simplifié'!$D$39</definedName>
    <definedName name="Z">'Bilan aéraulique simplifié'!$D$66</definedName>
    <definedName name="_xlnm.Print_Area" localSheetId="0">'Bilan aéraulique simplifié'!$A$1:$I$216</definedName>
  </definedNames>
  <calcPr calcId="145621"/>
</workbook>
</file>

<file path=xl/calcChain.xml><?xml version="1.0" encoding="utf-8"?>
<calcChain xmlns="http://schemas.openxmlformats.org/spreadsheetml/2006/main">
  <c r="Q10" i="1" l="1"/>
  <c r="P7" i="1"/>
  <c r="C175" i="1" l="1"/>
  <c r="C137" i="1" l="1"/>
  <c r="G136" i="1"/>
  <c r="G135" i="1"/>
  <c r="G134" i="1"/>
  <c r="E169" i="1" l="1"/>
  <c r="F161" i="1" l="1"/>
  <c r="F162" i="1"/>
  <c r="F158" i="1"/>
  <c r="F159" i="1"/>
  <c r="D165" i="1"/>
  <c r="D164" i="1" s="1"/>
  <c r="F165" i="1"/>
  <c r="F160" i="1"/>
  <c r="F163" i="1"/>
  <c r="I158" i="1"/>
  <c r="I159" i="1"/>
  <c r="I160" i="1"/>
  <c r="I161" i="1"/>
  <c r="I162" i="1"/>
  <c r="I163" i="1"/>
  <c r="F186" i="1" l="1"/>
  <c r="D167" i="1"/>
  <c r="Q8" i="1" s="1"/>
  <c r="F39" i="1"/>
  <c r="D203" i="1" s="1"/>
  <c r="Q9" i="1" l="1"/>
  <c r="F102" i="1"/>
  <c r="G39" i="1"/>
  <c r="D205" i="1"/>
  <c r="D204" i="1"/>
  <c r="E21" i="1" l="1"/>
  <c r="E19" i="1"/>
  <c r="E17" i="1"/>
  <c r="E82" i="1" l="1"/>
  <c r="F82" i="1"/>
  <c r="E65" i="1"/>
  <c r="F65" i="1"/>
  <c r="E64" i="1"/>
  <c r="F64" i="1"/>
  <c r="E30" i="1"/>
  <c r="F30" i="1"/>
  <c r="D30" i="1"/>
  <c r="F42" i="1" l="1"/>
  <c r="F66" i="1"/>
  <c r="E42" i="1"/>
  <c r="E66" i="1"/>
  <c r="D42" i="1"/>
  <c r="D32" i="1"/>
  <c r="D64" i="1"/>
  <c r="D207" i="1"/>
  <c r="F203" i="1" l="1"/>
  <c r="D104" i="1" l="1"/>
  <c r="D105" i="1" s="1"/>
  <c r="F190" i="1" s="1"/>
  <c r="F97" i="1"/>
  <c r="D124" i="1" l="1"/>
  <c r="E124" i="1"/>
  <c r="F124" i="1"/>
  <c r="D140" i="1"/>
  <c r="P6" i="1" s="1"/>
  <c r="G83" i="1"/>
  <c r="G66" i="1"/>
  <c r="D125" i="1" l="1"/>
  <c r="P5" i="1" s="1"/>
  <c r="I2" i="5" l="1"/>
  <c r="I3" i="5"/>
  <c r="L9" i="5"/>
  <c r="D65" i="1"/>
  <c r="D66" i="1" s="1"/>
  <c r="P2" i="1" s="1"/>
  <c r="D82" i="1"/>
  <c r="F83" i="1" l="1"/>
  <c r="F91" i="1" s="1"/>
  <c r="E83" i="1"/>
  <c r="E91" i="1" s="1"/>
  <c r="D83" i="1"/>
  <c r="D67" i="1"/>
  <c r="P3" i="1" l="1"/>
  <c r="E112" i="1"/>
  <c r="E113" i="1" s="1"/>
  <c r="E114" i="1" s="1"/>
  <c r="F112" i="1"/>
  <c r="F113" i="1" s="1"/>
  <c r="F114" i="1" s="1"/>
  <c r="D84" i="1"/>
  <c r="D91" i="1"/>
  <c r="C116" i="1" l="1"/>
  <c r="D112" i="1"/>
  <c r="D113" i="1" s="1"/>
  <c r="D114" i="1" s="1"/>
  <c r="D115" i="1" s="1"/>
  <c r="P4" i="1" s="1"/>
  <c r="D130" i="1" l="1"/>
  <c r="D146" i="1" s="1"/>
  <c r="F174" i="1" s="1"/>
  <c r="D180" i="1" l="1"/>
  <c r="D187" i="1"/>
  <c r="D174" i="1"/>
  <c r="C195" i="1" l="1"/>
  <c r="D208" i="1"/>
  <c r="C192" i="1"/>
  <c r="C169" i="1"/>
  <c r="F206" i="1" s="1"/>
  <c r="C172" i="1" l="1"/>
  <c r="D206" i="1" s="1"/>
  <c r="C176" i="1"/>
</calcChain>
</file>

<file path=xl/comments1.xml><?xml version="1.0" encoding="utf-8"?>
<comments xmlns="http://schemas.openxmlformats.org/spreadsheetml/2006/main">
  <authors>
    <author>F3291</author>
  </authors>
  <commentList>
    <comment ref="C4" authorId="0">
      <text>
        <r>
          <rPr>
            <sz val="9"/>
            <color indexed="81"/>
            <rFont val="Tahoma"/>
            <family val="2"/>
          </rPr>
          <t>Remplir la case blanche</t>
        </r>
      </text>
    </comment>
    <comment ref="C6" authorId="0">
      <text>
        <r>
          <rPr>
            <sz val="9"/>
            <color indexed="81"/>
            <rFont val="Tahoma"/>
            <family val="2"/>
          </rPr>
          <t>Remplir la case blanche</t>
        </r>
      </text>
    </comment>
    <comment ref="C8" authorId="0">
      <text>
        <r>
          <rPr>
            <sz val="9"/>
            <color indexed="81"/>
            <rFont val="Tahoma"/>
            <family val="2"/>
          </rPr>
          <t>Remplir la case blanche</t>
        </r>
      </text>
    </comment>
    <comment ref="C10" authorId="0">
      <text>
        <r>
          <rPr>
            <sz val="9"/>
            <color indexed="81"/>
            <rFont val="Tahoma"/>
            <family val="2"/>
          </rPr>
          <t>Remplir la case blanche</t>
        </r>
      </text>
    </comment>
    <comment ref="F10" authorId="0">
      <text>
        <r>
          <rPr>
            <sz val="9"/>
            <color indexed="81"/>
            <rFont val="Tahoma"/>
            <family val="2"/>
          </rPr>
          <t>Remplir la case blanche</t>
        </r>
      </text>
    </comment>
    <comment ref="C12" authorId="0">
      <text>
        <r>
          <rPr>
            <sz val="9"/>
            <color indexed="81"/>
            <rFont val="Tahoma"/>
            <family val="2"/>
          </rPr>
          <t>Remplir la case blanche</t>
        </r>
      </text>
    </comment>
    <comment ref="C16" authorId="0">
      <text>
        <r>
          <rPr>
            <sz val="9"/>
            <color indexed="81"/>
            <rFont val="Tahoma"/>
            <family val="2"/>
          </rPr>
          <t xml:space="preserve">Cocher ou décocher la case </t>
        </r>
        <r>
          <rPr>
            <b/>
            <sz val="9"/>
            <color indexed="81"/>
            <rFont val="Tahoma"/>
            <family val="2"/>
          </rPr>
          <t>"oui"</t>
        </r>
      </text>
    </comment>
    <comment ref="C18" authorId="0">
      <text>
        <r>
          <rPr>
            <sz val="9"/>
            <color indexed="81"/>
            <rFont val="Tahoma"/>
            <family val="2"/>
          </rPr>
          <t>Cocher ou décocher la case</t>
        </r>
        <r>
          <rPr>
            <b/>
            <sz val="9"/>
            <color indexed="81"/>
            <rFont val="Tahoma"/>
            <family val="2"/>
          </rPr>
          <t xml:space="preserve"> " oui "</t>
        </r>
      </text>
    </comment>
    <comment ref="C20" authorId="0">
      <text>
        <r>
          <rPr>
            <sz val="9"/>
            <color indexed="81"/>
            <rFont val="Tahoma"/>
            <family val="2"/>
          </rPr>
          <t>Cocher ou décocher la case</t>
        </r>
        <r>
          <rPr>
            <b/>
            <sz val="9"/>
            <color indexed="81"/>
            <rFont val="Tahoma"/>
            <family val="2"/>
          </rPr>
          <t xml:space="preserve"> " oui "
</t>
        </r>
      </text>
    </comment>
    <comment ref="C38" authorId="0">
      <text>
        <r>
          <rPr>
            <sz val="9"/>
            <color indexed="81"/>
            <rFont val="Tahoma"/>
            <family val="2"/>
          </rPr>
          <t>Utiliser le menu déroulant</t>
        </r>
      </text>
    </comment>
    <comment ref="C39" authorId="0">
      <text>
        <r>
          <rPr>
            <sz val="9"/>
            <color indexed="81"/>
            <rFont val="Tahoma"/>
            <family val="2"/>
          </rPr>
          <t>Préciser le taux de renouvellement d'air</t>
        </r>
      </text>
    </comment>
    <comment ref="C47" authorId="0">
      <text>
        <r>
          <rPr>
            <sz val="9"/>
            <color indexed="81"/>
            <rFont val="Tahoma"/>
            <family val="2"/>
          </rPr>
          <t>A minima 10 Pa</t>
        </r>
      </text>
    </comment>
    <comment ref="C52" authorId="0">
      <text>
        <r>
          <rPr>
            <sz val="9"/>
            <color indexed="81"/>
            <rFont val="Tahoma"/>
            <family val="2"/>
          </rPr>
          <t>Sert uniquement à calculer le besoin en eau pour les douches</t>
        </r>
      </text>
    </comment>
    <comment ref="C96" authorId="0">
      <text>
        <r>
          <rPr>
            <sz val="9"/>
            <color indexed="81"/>
            <rFont val="Tahoma"/>
            <family val="2"/>
          </rPr>
          <t>Utiliser le menu déroulant</t>
        </r>
      </text>
    </comment>
    <comment ref="C97" authorId="0">
      <text>
        <r>
          <rPr>
            <sz val="9"/>
            <color indexed="81"/>
            <rFont val="Tahoma"/>
            <family val="2"/>
          </rPr>
          <t>Préciser la largeur du filtre à papier rectangulaire ou le diamètre du cylindre</t>
        </r>
      </text>
    </comment>
    <comment ref="C98" authorId="0">
      <text>
        <r>
          <rPr>
            <sz val="9"/>
            <color indexed="81"/>
            <rFont val="Tahoma"/>
            <family val="2"/>
          </rPr>
          <t>A remplir uniquement pour les filtres papier rectangulaire</t>
        </r>
      </text>
    </comment>
    <comment ref="C102" authorId="0">
      <text>
        <r>
          <rPr>
            <sz val="9"/>
            <color indexed="81"/>
            <rFont val="Tahoma"/>
            <family val="2"/>
          </rPr>
          <t>Pour une entrée d'air cylindrique, vous pouvez indiquer la vitesse estimée</t>
        </r>
      </text>
    </comment>
    <comment ref="C123" authorId="0">
      <text>
        <r>
          <rPr>
            <sz val="9"/>
            <color indexed="81"/>
            <rFont val="Tahoma"/>
            <family val="2"/>
          </rPr>
          <t xml:space="preserve">Pour limiter les zones mortes, il peut être nécessaire d'ajouter les entrées d'air aditionnelles </t>
        </r>
      </text>
    </comment>
    <comment ref="C139" authorId="0">
      <text>
        <r>
          <rPr>
            <sz val="9"/>
            <color indexed="81"/>
            <rFont val="Tahoma"/>
            <family val="2"/>
          </rPr>
          <t xml:space="preserve">Pour trouver le taux de fuites s'appuyer sur le logigramme et sur les courbes </t>
        </r>
        <r>
          <rPr>
            <b/>
            <sz val="9"/>
            <color indexed="81"/>
            <rFont val="Tahoma"/>
            <family val="2"/>
          </rPr>
          <t>Taux de fuite = f(Volume de confinement en m3)</t>
        </r>
      </text>
    </comment>
    <comment ref="C155" authorId="0">
      <text>
        <r>
          <rPr>
            <sz val="9"/>
            <color indexed="81"/>
            <rFont val="Tahoma"/>
            <family val="2"/>
          </rPr>
          <t>Correspond au taux d'encrassement des filtres indiqué dans le bilan aéraulique</t>
        </r>
      </text>
    </comment>
    <comment ref="C158" authorId="0">
      <text>
        <r>
          <rPr>
            <sz val="9"/>
            <color indexed="81"/>
            <rFont val="Tahoma"/>
            <family val="2"/>
          </rPr>
          <t>Le débit des extracteurs ainsi que le nombre d'extracteu(s) sont indiqués dans le bilan aéraulique annexé au plan de retrait</t>
        </r>
      </text>
    </comment>
    <comment ref="D180" authorId="0">
      <text>
        <r>
          <rPr>
            <sz val="9"/>
            <color indexed="81"/>
            <rFont val="Tahoma"/>
            <family val="2"/>
          </rPr>
          <t>Utiliser les flèches descendantes ou montantes pour modifier le débit de l'extracteur (s). 
Pour un même débit, vous devriez trouver le même nombre d'extracteurs que celui indiqué dans le tableau ci-dessus " Type et nombre d'extracteurs "</t>
        </r>
      </text>
    </comment>
    <comment ref="C190" authorId="0">
      <text>
        <r>
          <rPr>
            <sz val="9"/>
            <color indexed="81"/>
            <rFont val="Tahoma"/>
            <family val="2"/>
          </rPr>
          <t>Se réfèrer au commentaire à droite de la cellule pour préciser le débit à indiquer</t>
        </r>
      </text>
    </comment>
  </commentList>
</comments>
</file>

<file path=xl/sharedStrings.xml><?xml version="1.0" encoding="utf-8"?>
<sst xmlns="http://schemas.openxmlformats.org/spreadsheetml/2006/main" count="208" uniqueCount="172">
  <si>
    <t>Pa</t>
  </si>
  <si>
    <t>m</t>
  </si>
  <si>
    <t>ren/h</t>
  </si>
  <si>
    <t>min</t>
  </si>
  <si>
    <t>un</t>
  </si>
  <si>
    <t>Débit d'air à extraire en permanence (Dep)</t>
  </si>
  <si>
    <t>Dépression à maintenir en fonctionnement normal</t>
  </si>
  <si>
    <r>
      <t>m</t>
    </r>
    <r>
      <rPr>
        <vertAlign val="superscript"/>
        <sz val="9"/>
        <color indexed="8"/>
        <rFont val="Verdana"/>
        <family val="2"/>
      </rPr>
      <t>3</t>
    </r>
  </si>
  <si>
    <r>
      <t>m</t>
    </r>
    <r>
      <rPr>
        <vertAlign val="superscript"/>
        <sz val="9"/>
        <color indexed="8"/>
        <rFont val="Verdana"/>
        <family val="2"/>
      </rPr>
      <t>3</t>
    </r>
    <r>
      <rPr>
        <sz val="9"/>
        <color indexed="8"/>
        <rFont val="Verdana"/>
        <family val="2"/>
      </rPr>
      <t>/h</t>
    </r>
  </si>
  <si>
    <t>-</t>
  </si>
  <si>
    <t>Taux de renouvellement d'air (Y)</t>
  </si>
  <si>
    <t>Débit total des entrées d'air maitrisées (DtEm)</t>
  </si>
  <si>
    <r>
      <t>m</t>
    </r>
    <r>
      <rPr>
        <i/>
        <vertAlign val="superscript"/>
        <sz val="9"/>
        <color indexed="8"/>
        <rFont val="Verdana"/>
        <family val="2"/>
      </rPr>
      <t>3</t>
    </r>
    <r>
      <rPr>
        <i/>
        <sz val="9"/>
        <color indexed="8"/>
        <rFont val="Verdana"/>
        <family val="2"/>
      </rPr>
      <t>/h</t>
    </r>
  </si>
  <si>
    <t xml:space="preserve">Compartiment : </t>
  </si>
  <si>
    <t>Ec = Débit d'air de la zone (DZ) / débit d'air pénétrant par un filtre d'entrée d'air</t>
  </si>
  <si>
    <t>Type et dimension des entrées d'air de compensation :</t>
  </si>
  <si>
    <t>Niveau d'empoussièrement (ex : chantier test)</t>
  </si>
  <si>
    <t>nombre</t>
  </si>
  <si>
    <t>Taux de fuites</t>
  </si>
  <si>
    <t>Volume du confinement</t>
  </si>
  <si>
    <t>de 100 à 2 000</t>
  </si>
  <si>
    <r>
      <t>= 6E-19x</t>
    </r>
    <r>
      <rPr>
        <vertAlign val="superscript"/>
        <sz val="10"/>
        <color indexed="8"/>
        <rFont val="Verdana"/>
        <family val="2"/>
      </rPr>
      <t>4</t>
    </r>
    <r>
      <rPr>
        <sz val="10"/>
        <color indexed="8"/>
        <rFont val="Verdana"/>
        <family val="2"/>
      </rPr>
      <t xml:space="preserve"> - 2E-13x</t>
    </r>
    <r>
      <rPr>
        <vertAlign val="superscript"/>
        <sz val="10"/>
        <color indexed="8"/>
        <rFont val="Verdana"/>
        <family val="2"/>
      </rPr>
      <t>3</t>
    </r>
    <r>
      <rPr>
        <sz val="10"/>
        <color indexed="8"/>
        <rFont val="Verdana"/>
        <family val="2"/>
      </rPr>
      <t xml:space="preserve"> + 1E-08x</t>
    </r>
    <r>
      <rPr>
        <vertAlign val="superscript"/>
        <sz val="10"/>
        <color indexed="8"/>
        <rFont val="Verdana"/>
        <family val="2"/>
      </rPr>
      <t>2</t>
    </r>
    <r>
      <rPr>
        <sz val="10"/>
        <color indexed="8"/>
        <rFont val="Verdana"/>
        <family val="2"/>
      </rPr>
      <t xml:space="preserve"> - 0,0006x + 19,011 </t>
    </r>
  </si>
  <si>
    <r>
      <t>y = 85,538x</t>
    </r>
    <r>
      <rPr>
        <vertAlign val="superscript"/>
        <sz val="10"/>
        <color indexed="8"/>
        <rFont val="Verdana"/>
        <family val="2"/>
      </rPr>
      <t>-0,196</t>
    </r>
    <r>
      <rPr>
        <sz val="10"/>
        <color indexed="8"/>
        <rFont val="Verdana"/>
        <family val="2"/>
      </rPr>
      <t xml:space="preserve"> </t>
    </r>
  </si>
  <si>
    <t>On considère que le confinement est réalisable sans difficulté technique particulière</t>
  </si>
  <si>
    <r>
      <t>h</t>
    </r>
    <r>
      <rPr>
        <vertAlign val="superscript"/>
        <sz val="9"/>
        <color indexed="8"/>
        <rFont val="Verdana"/>
        <family val="2"/>
      </rPr>
      <t>-1</t>
    </r>
  </si>
  <si>
    <t>Taux de fuites (Tf) indiqué :</t>
  </si>
  <si>
    <t>Filtre papier (carré ou rectangulaire)</t>
  </si>
  <si>
    <t>cylindrique (type tube à vanne papillon)</t>
  </si>
  <si>
    <t>Si le débit mininal (DsD) calculé est anormalement différent du débit indiqué dans le bilan aéraulique, demander à l'entreprise les dimensions des sas, le temps de douche...</t>
  </si>
  <si>
    <t>Si le débit mininal (Ds) calculé est anormalement différent du débit indiqué dans le bilan aéraulique, demander à l'entreprise les dimensions des sas, le temps de douche...</t>
  </si>
  <si>
    <t xml:space="preserve">Total des débits d'extraction (avec filtres neufs) : </t>
  </si>
  <si>
    <t>Débit des extracteurs avec filtres encrassés (Dext)</t>
  </si>
  <si>
    <t>Différence entre le débit à extraire (Dep) et le débit global des extracteurs avec filtres encrassés (Dext)</t>
  </si>
  <si>
    <t>Ds : Sas de décontamination pour les opérateurs</t>
  </si>
  <si>
    <t xml:space="preserve">Description des sas : </t>
  </si>
  <si>
    <t xml:space="preserve">Etape n°6 : Indiquer la valeur de dépression précisée dans le PDRE </t>
  </si>
  <si>
    <t>La valeur de dépression à indiquer est a minima de 10 Pa</t>
  </si>
  <si>
    <t>DsD : Sas de décontamination pour les déchets et/ou matériel</t>
  </si>
  <si>
    <t>Adresse du chantier :</t>
  </si>
  <si>
    <t>Pour vérifier éventuellement le coefficient K,se reporter à l'abaque tiré du guide INRS 2137-181-01</t>
  </si>
  <si>
    <t>Débit des entrées d'air non maitrisées (Denm)
Denm = taux de fuite * Volume</t>
  </si>
  <si>
    <t>Nom de l'établissement en charge des travaux :</t>
  </si>
  <si>
    <t>Date de la vérification du bilan aéraulique :</t>
  </si>
  <si>
    <t>Date de commencement des travaux :</t>
  </si>
  <si>
    <t>Etape n° 1 : Vérifier l'existence d'un schéma conceptuel du chantier sur le plan de retrait</t>
  </si>
  <si>
    <t>Etape n° 2 : Vérifier que la zone à confiner a été délimitée avec l'implantation des sas et des extracteurs</t>
  </si>
  <si>
    <t>Le temps de douche est a minima de 3 minutes (recommandé 5 min. dans le guide ED 6091 INRS) avec un volume d'eau par personne de 10 litres/min.</t>
  </si>
  <si>
    <t>m/s</t>
  </si>
  <si>
    <t>Type et nombre d'extracteurs de secours</t>
  </si>
  <si>
    <r>
      <t xml:space="preserve">Type et nombre d'extracteurs 
</t>
    </r>
    <r>
      <rPr>
        <sz val="9"/>
        <color indexed="8"/>
        <rFont val="Verdana"/>
        <family val="2"/>
      </rPr>
      <t>(indiqués dans le bilan aéraulique)
Nb : ne pas y ajouter l'extracteur de secours dans le calcul</t>
    </r>
  </si>
  <si>
    <t>Débit supplémentaire à introduire par des entrées d'air de réglage (ou de régulation)</t>
  </si>
  <si>
    <r>
      <t>m</t>
    </r>
    <r>
      <rPr>
        <b/>
        <i/>
        <vertAlign val="superscript"/>
        <sz val="9"/>
        <color theme="9" tint="-0.499984740745262"/>
        <rFont val="Verdana"/>
        <family val="2"/>
      </rPr>
      <t>3</t>
    </r>
    <r>
      <rPr>
        <b/>
        <i/>
        <sz val="9"/>
        <color theme="9" tint="-0.499984740745262"/>
        <rFont val="Verdana"/>
        <family val="2"/>
      </rPr>
      <t>/h</t>
    </r>
  </si>
  <si>
    <r>
      <t>m</t>
    </r>
    <r>
      <rPr>
        <i/>
        <vertAlign val="superscript"/>
        <sz val="9"/>
        <rFont val="Verdana"/>
        <family val="2"/>
      </rPr>
      <t>3</t>
    </r>
    <r>
      <rPr>
        <i/>
        <sz val="9"/>
        <rFont val="Verdana"/>
        <family val="2"/>
      </rPr>
      <t>/h</t>
    </r>
  </si>
  <si>
    <r>
      <t xml:space="preserve">Débit unitaire de l'entrée d'air additionnelle de réglage 
</t>
    </r>
    <r>
      <rPr>
        <sz val="9"/>
        <color theme="1"/>
        <rFont val="Verdana"/>
        <family val="2"/>
      </rPr>
      <t>(ou de régulation)</t>
    </r>
  </si>
  <si>
    <t>Etape n° 4 : Calculer le volume de la zone élémentaire (V)</t>
  </si>
  <si>
    <t>Etape n° 5 : Indiquer le niveau d'empoussièrement et le taux minimal de renouvellement d'air neuf (Y) précisés dans le PDRE</t>
  </si>
  <si>
    <t xml:space="preserve">Etape n° 7 : Déterminer les débits d'air neuf entrant par les sas de décontamination (Ds) et sas déchets (DsD) </t>
  </si>
  <si>
    <t>Largeur du filtre papier ou diamètre du cylindre</t>
  </si>
  <si>
    <t>Longeur du filtre papier</t>
  </si>
  <si>
    <t>Etape n° 10- b : Ajout d'entrées d'air de compensation additionnelles pour supprimer les zones mortes</t>
  </si>
  <si>
    <t>Etape n° 11 : Calcul automatique des entrées d'air maitrisées (Dtem)</t>
  </si>
  <si>
    <t>Etape n° 13 : Calcul automatique du débit d'air à extraire en permanence (Dep)</t>
  </si>
  <si>
    <t>Etape n° 14 : Indiquer le nombre et les types d'extracteurs indiqués dans le PDRE pour vérifier que l'extration est suffisante pour le volume d'air à extraire</t>
  </si>
  <si>
    <t>Dz = (Volume de la zone * le taux de renouvellement de l'air) - débit des sas</t>
  </si>
  <si>
    <t>Etape n° 8 : Calculer le débit minimal d'air neuf (Dz) pour les entrées d'air de compensation nécessaire pour la zone élémentaire (sans le décit des sas)</t>
  </si>
  <si>
    <t>Etape n° 9 : Déterminer le débit d'air neuf (Danf) pénétrant par une entrée d'air neuf de compensation pour la valeur de dépression de l'étape n°6</t>
  </si>
  <si>
    <t>Etape n° 10-a : Calcul automatique du nombre d'entrées d'air de compensation (Arrondi de Ec) nécessaires pour la zone élementaire</t>
  </si>
  <si>
    <t>Dec = Débit d'air neuf (Q) * Nombre d'entrées d'air (Ec)</t>
  </si>
  <si>
    <t>Dea = Débit d'air neuf (Q) * Nombre d'entrées d'air additionnelles (Ea)</t>
  </si>
  <si>
    <t>Etape n° 12 : Indiquer à partir du PDRE, le taux de fuite du confinement (Tf) pour le calcul automatique du débit des entrées d'air non maitrisées (Denm)</t>
  </si>
  <si>
    <t>Ajuster si besoin la largeur, la longueur et la hauteur du compartiment</t>
  </si>
  <si>
    <t>pour obtenir le bon débit DsD</t>
  </si>
  <si>
    <t>pour obtenir le bon débit Ds</t>
  </si>
  <si>
    <t>a)- Dimensionnement de l'extraction (indiqué le bilan)</t>
  </si>
  <si>
    <t>b) Dimensionnement des extracteurs de secours</t>
  </si>
  <si>
    <t>c)- Besoin en entrée(s) d'air additionnelles de réglages</t>
  </si>
  <si>
    <t>Remplir uniquement les cases blanches</t>
  </si>
  <si>
    <t xml:space="preserve">(*) : Les résultats sont donnés à titre indicatif, il convient de les vérifer sur le chantier au préalable des travaux. </t>
  </si>
  <si>
    <r>
      <t xml:space="preserve">Coefficient de calcul (K) ou pertes de charge
</t>
    </r>
    <r>
      <rPr>
        <sz val="8"/>
        <color theme="1"/>
        <rFont val="Verdana"/>
        <family val="2"/>
      </rPr>
      <t>(indiquée par le fournisseur sur la fiche technique de l'entrée d'air)</t>
    </r>
  </si>
  <si>
    <t>Objectif a priori atteint</t>
  </si>
  <si>
    <t>Objectif souhaité</t>
  </si>
  <si>
    <t>Observations</t>
  </si>
  <si>
    <t>Commentaires :</t>
  </si>
  <si>
    <t>Taux de renouvellement d'air neuf semble suffisant (Y)</t>
  </si>
  <si>
    <t>Etape n° 15 : Validation du bilan aéraulique</t>
  </si>
  <si>
    <t>l / min</t>
  </si>
  <si>
    <t>Le débit d'air des extracteurs est a priori correct (Dext)</t>
  </si>
  <si>
    <t>Permet de calculer le besoin en eau pour les douches</t>
  </si>
  <si>
    <t>Présence d'extracteur(s) de secours prévue</t>
  </si>
  <si>
    <t xml:space="preserve">Vérifier si indiqué dans le bilan aéraulique et sur le chantier, sinon l'imposer à l'entreprise. </t>
  </si>
  <si>
    <t>Nombre de personnes concernées par la décontamination**</t>
  </si>
  <si>
    <t>(**) : non indiqué dans le bilan aéraulique</t>
  </si>
  <si>
    <t>Zone 1</t>
  </si>
  <si>
    <t>Zone 2</t>
  </si>
  <si>
    <t>Zone 3</t>
  </si>
  <si>
    <t>Longueur (en m)</t>
  </si>
  <si>
    <t>Largeur (en m)</t>
  </si>
  <si>
    <t>Hauteur (en m)</t>
  </si>
  <si>
    <r>
      <t>Volume élémentaire (en m</t>
    </r>
    <r>
      <rPr>
        <vertAlign val="superscript"/>
        <sz val="12"/>
        <rFont val="Calibri"/>
        <family val="2"/>
        <scheme val="minor"/>
      </rPr>
      <t>3</t>
    </r>
    <r>
      <rPr>
        <sz val="12"/>
        <rFont val="Calibri"/>
        <family val="2"/>
        <scheme val="minor"/>
      </rPr>
      <t>)</t>
    </r>
  </si>
  <si>
    <t>Air neuf à introduire par zone</t>
  </si>
  <si>
    <t>Nombre de sas de décontamination (ou tunnel) pour les opérateurs (un)</t>
  </si>
  <si>
    <t>Temps de douche (min)</t>
  </si>
  <si>
    <t>Volume d'eau par personne** (l/min)</t>
  </si>
  <si>
    <t>Besoin mini. en eau pour assurer la décontamination personnel ** (l)</t>
  </si>
  <si>
    <t>Nombre de compartiments (un)</t>
  </si>
  <si>
    <t>Largeur d'un compartiment (m)</t>
  </si>
  <si>
    <t>Longueur d'un compartiment (m)</t>
  </si>
  <si>
    <t>Hauteur d'un compartiment (m)</t>
  </si>
  <si>
    <r>
      <t>Volume d'un compartiment (m</t>
    </r>
    <r>
      <rPr>
        <i/>
        <vertAlign val="superscript"/>
        <sz val="9"/>
        <color theme="1"/>
        <rFont val="Verdana"/>
        <family val="2"/>
      </rPr>
      <t>3</t>
    </r>
    <r>
      <rPr>
        <i/>
        <sz val="9"/>
        <color theme="1"/>
        <rFont val="Verdana"/>
        <family val="2"/>
      </rPr>
      <t>)</t>
    </r>
  </si>
  <si>
    <r>
      <t>Débit minimal (Ds = Z) (m</t>
    </r>
    <r>
      <rPr>
        <i/>
        <vertAlign val="superscript"/>
        <sz val="9"/>
        <rFont val="Verdana"/>
        <family val="2"/>
      </rPr>
      <t>3</t>
    </r>
    <r>
      <rPr>
        <i/>
        <sz val="9"/>
        <rFont val="Verdana"/>
        <family val="2"/>
      </rPr>
      <t>/h)</t>
    </r>
  </si>
  <si>
    <t>Nombre de sas (ou tunnel) (un)</t>
  </si>
  <si>
    <t>Temps de douchage (min)</t>
  </si>
  <si>
    <r>
      <t>Débit minimal (DsD) (m</t>
    </r>
    <r>
      <rPr>
        <i/>
        <vertAlign val="superscript"/>
        <sz val="9"/>
        <rFont val="Verdana"/>
        <family val="2"/>
      </rPr>
      <t>3</t>
    </r>
    <r>
      <rPr>
        <i/>
        <sz val="9"/>
        <rFont val="Verdana"/>
        <family val="2"/>
      </rPr>
      <t>/h)</t>
    </r>
  </si>
  <si>
    <t>Nombre d'entrées d'air de compensation (Ec) (un)</t>
  </si>
  <si>
    <t>Nombre d'entrées d'air de compensation à prévoir par zone
Arrondi de Ec (un)</t>
  </si>
  <si>
    <t>Nombre d'entrée (s) d'air additionnelle (s)  (un)</t>
  </si>
  <si>
    <r>
      <t>Débit minimal au total (DsD) (m</t>
    </r>
    <r>
      <rPr>
        <i/>
        <vertAlign val="superscript"/>
        <sz val="9"/>
        <rFont val="Verdana"/>
        <family val="2"/>
      </rPr>
      <t>3</t>
    </r>
    <r>
      <rPr>
        <i/>
        <sz val="9"/>
        <rFont val="Verdana"/>
        <family val="2"/>
      </rPr>
      <t>/h)</t>
    </r>
  </si>
  <si>
    <r>
      <t>Débit minimal au total (Ds = Z) (m</t>
    </r>
    <r>
      <rPr>
        <i/>
        <vertAlign val="superscript"/>
        <sz val="9"/>
        <rFont val="Verdana"/>
        <family val="2"/>
      </rPr>
      <t>3</t>
    </r>
    <r>
      <rPr>
        <i/>
        <sz val="9"/>
        <rFont val="Verdana"/>
        <family val="2"/>
      </rPr>
      <t>/h)</t>
    </r>
  </si>
  <si>
    <t>Débit global des entrées d'air additionnelles (Dea)</t>
  </si>
  <si>
    <t>Débit global des entrées d'air de compensation (Dec)</t>
  </si>
  <si>
    <r>
      <t>Débit par zone des entrées d'air additionnelles (Dea)  (m</t>
    </r>
    <r>
      <rPr>
        <i/>
        <vertAlign val="superscript"/>
        <sz val="9"/>
        <rFont val="Verdana"/>
        <family val="2"/>
      </rPr>
      <t>3</t>
    </r>
    <r>
      <rPr>
        <i/>
        <sz val="9"/>
        <rFont val="Verdana"/>
        <family val="2"/>
      </rPr>
      <t>/h)</t>
    </r>
  </si>
  <si>
    <t>Remarques :</t>
  </si>
  <si>
    <r>
      <t>Volume unitaire (V) = V</t>
    </r>
    <r>
      <rPr>
        <b/>
        <vertAlign val="subscript"/>
        <sz val="9"/>
        <color theme="1"/>
        <rFont val="Verdana"/>
        <family val="2"/>
      </rPr>
      <t xml:space="preserve">zone 1 </t>
    </r>
    <r>
      <rPr>
        <b/>
        <sz val="9"/>
        <color theme="1"/>
        <rFont val="Verdana"/>
        <family val="2"/>
      </rPr>
      <t>+ V</t>
    </r>
    <r>
      <rPr>
        <b/>
        <vertAlign val="subscript"/>
        <sz val="9"/>
        <color theme="1"/>
        <rFont val="Verdana"/>
        <family val="2"/>
      </rPr>
      <t xml:space="preserve">zone 2 </t>
    </r>
    <r>
      <rPr>
        <b/>
        <sz val="9"/>
        <color theme="1"/>
        <rFont val="Verdana"/>
        <family val="2"/>
      </rPr>
      <t>+ V</t>
    </r>
    <r>
      <rPr>
        <b/>
        <vertAlign val="subscript"/>
        <sz val="9"/>
        <color theme="1"/>
        <rFont val="Verdana"/>
        <family val="2"/>
      </rPr>
      <t>zone 3</t>
    </r>
  </si>
  <si>
    <t>Débit d'air neuf arrondi (Danf ou Q)</t>
  </si>
  <si>
    <t>Débit d'air neuf</t>
  </si>
  <si>
    <r>
      <t>Débit des entrées d'air de compensation/zone (Dec) (m</t>
    </r>
    <r>
      <rPr>
        <i/>
        <vertAlign val="superscript"/>
        <sz val="9"/>
        <rFont val="Verdana"/>
        <family val="2"/>
      </rPr>
      <t>3</t>
    </r>
    <r>
      <rPr>
        <i/>
        <sz val="9"/>
        <rFont val="Verdana"/>
        <family val="2"/>
      </rPr>
      <t>/h)</t>
    </r>
  </si>
  <si>
    <t>Débit d'air de chaque zone (Dz) (m3/h)</t>
  </si>
  <si>
    <t xml:space="preserve">Pour un (ou des) extracteur(s) avec un débit de </t>
  </si>
  <si>
    <t>Présence d'un sas de décontamination personnel</t>
  </si>
  <si>
    <t>Prévoir encrassement des filtres avec une diminution du volume d'extraction (en général : environ 0,15 voire 0,3)</t>
  </si>
  <si>
    <r>
      <t xml:space="preserve">Etape n° 3 : Vérifier que la zone confinée a été si nécessaire divisée en zones élémentaires 
</t>
    </r>
    <r>
      <rPr>
        <sz val="12"/>
        <color theme="9" tint="-0.249977111117893"/>
        <rFont val="Calibri"/>
        <family val="2"/>
        <scheme val="minor"/>
      </rPr>
      <t>(s'agissant d'un bilan aéraulique simplifié, le calcul ci-dessous est réalisé pour un volume unitaire)</t>
    </r>
  </si>
  <si>
    <t>Comporte, a minima, 1 installation de décontamination composée d'au moins 3 compartiments dont 2 douches permettant d'assurer successivement la déconta. et la douche d'hygiène</t>
  </si>
  <si>
    <t xml:space="preserve">Lors de travaux à l'humide, priviligier des entrées d'air à clapet. Les filtres papier ont tendance à se colmater (ou se détériorer) lors de la brumisation... </t>
  </si>
  <si>
    <t>Si le bilan aéraulique n'indique pas le paramètre K, prendre pour :
   - une entrée carrée : 0,7 
   - un tube : 3.</t>
  </si>
  <si>
    <r>
      <t>Danf ou Q = S</t>
    </r>
    <r>
      <rPr>
        <i/>
        <vertAlign val="subscript"/>
        <sz val="9"/>
        <color indexed="8"/>
        <rFont val="Verdana"/>
        <family val="2"/>
      </rPr>
      <t>entrées d'air</t>
    </r>
    <r>
      <rPr>
        <i/>
        <sz val="9"/>
        <color indexed="8"/>
        <rFont val="Verdana"/>
        <family val="2"/>
      </rPr>
      <t xml:space="preserve"> * Va * 3600</t>
    </r>
  </si>
  <si>
    <t>Peut être nécessaire d'en ajouter pour supprimer 
les zones mortes non maitrisées</t>
  </si>
  <si>
    <t>DtEm = 
    Débit des entrées d'air de compensation (Dec) 
 + Débits des sas de décontamination pour les salariés (Ds) et déchets (DsD) 
 + Débits des entrées d'air additionnelles (Dea)</t>
  </si>
  <si>
    <t>Dep = 
         Débit des entrées d'air maitrisées (DtEm) 
      + Débit des entrées d'air non maitrisées (Denm)</t>
  </si>
  <si>
    <r>
      <t xml:space="preserve">Dext = Total des débits </t>
    </r>
    <r>
      <rPr>
        <i/>
        <vertAlign val="subscript"/>
        <sz val="9"/>
        <color theme="1"/>
        <rFont val="Verdana"/>
        <family val="2"/>
      </rPr>
      <t>(avec filtres neufs)</t>
    </r>
    <r>
      <rPr>
        <i/>
        <sz val="9"/>
        <color theme="1"/>
        <rFont val="Verdana"/>
        <family val="2"/>
      </rPr>
      <t xml:space="preserve"> * (1 - Ecf)</t>
    </r>
  </si>
  <si>
    <t>Intégre dans le calcul le débit obtenu avec le(s) extracteur(s) 
avec filtres neufs et le(s) extracteur(s) de secours</t>
  </si>
  <si>
    <t>Présence d'un sas de décontamination 
pour les déchets et/ou le matériel</t>
  </si>
  <si>
    <t>Vitesse d'air calculée de passage ou relevée (Va)</t>
  </si>
  <si>
    <t>Taux d'encrassement des filtres des extracteurs (Ecf)</t>
  </si>
  <si>
    <r>
      <t>Débit avec filtres neufs en m</t>
    </r>
    <r>
      <rPr>
        <vertAlign val="superscript"/>
        <sz val="9"/>
        <color indexed="8"/>
        <rFont val="Verdana"/>
        <family val="2"/>
      </rPr>
      <t>3</t>
    </r>
    <r>
      <rPr>
        <sz val="9"/>
        <color indexed="8"/>
        <rFont val="Verdana"/>
        <family val="2"/>
      </rPr>
      <t>/h</t>
    </r>
  </si>
  <si>
    <r>
      <t>Débit avec filtres encrassés en m</t>
    </r>
    <r>
      <rPr>
        <vertAlign val="superscript"/>
        <sz val="9"/>
        <color theme="6" tint="0.79998168889431442"/>
        <rFont val="Verdana"/>
        <family val="2"/>
      </rPr>
      <t>3</t>
    </r>
    <r>
      <rPr>
        <sz val="9"/>
        <color theme="6" tint="0.79998168889431442"/>
        <rFont val="Verdana"/>
        <family val="2"/>
      </rPr>
      <t>/h</t>
    </r>
  </si>
  <si>
    <t>Existe-t-il des fuites structurelles non contrôlées ?</t>
  </si>
  <si>
    <t>Le confinement par enveloppe est-il impossible ?</t>
  </si>
  <si>
    <t>Le confinement est-il difficile à réaliser ?</t>
  </si>
  <si>
    <r>
      <t>m</t>
    </r>
    <r>
      <rPr>
        <b/>
        <vertAlign val="superscript"/>
        <sz val="10"/>
        <color theme="0"/>
        <rFont val="Verdana"/>
        <family val="2"/>
      </rPr>
      <t>3</t>
    </r>
    <r>
      <rPr>
        <b/>
        <sz val="10"/>
        <color theme="0"/>
        <rFont val="Verdana"/>
        <family val="2"/>
      </rPr>
      <t>/h</t>
    </r>
  </si>
  <si>
    <t>Le nombre d'entrée(s) d'air additionnelle(s) est suffisant</t>
  </si>
  <si>
    <t>(à vérifier impérativement sur le terrain)</t>
  </si>
  <si>
    <t>Pourcentage entre le Dext et le Dep</t>
  </si>
  <si>
    <t>Avis d'expert</t>
  </si>
  <si>
    <t>Sans avis</t>
  </si>
  <si>
    <t>Pourcentage (avis d'expert) pour considérer la différence entre le Dext et le Dep conforme</t>
  </si>
  <si>
    <t>Privilégier les extracteurs à débit fixe aux extracteurs à débits variables. 
Il est toujours préférable de régler la dépression via les entrées d'air. 
Le rejet de l'air extrait doit se faire vers l'extérieur (Arr. 08/04/13 -4f).
En cas d'une réelle impossibilité technique, l'extracteur devra être équipé d'un double étage THE.</t>
  </si>
  <si>
    <t>Conforme : OK (prend en compte le % indiqué sur la résistance du confinement), Non conforme : non OK (quand Dext &lt; Dep) et conformité à déterminer en fonction des vannes de réglages : -</t>
  </si>
  <si>
    <t>Attention, si le débit à extraire en permanence (Dep) est anormalement supérieur ou inférieur au débit des extracteurs indiqué dans le bilan aéraulique, 
l'entreprise devra justifier l'écart (cf. Etape n°14 a).</t>
  </si>
  <si>
    <t>VF00 du 04 février 2016</t>
  </si>
  <si>
    <t>Débit des extracteurs de secours</t>
  </si>
  <si>
    <t>Débits à extraire</t>
  </si>
  <si>
    <t>Débits extraits</t>
  </si>
  <si>
    <t>Débit minimal des sas de décontamination opérateurs (Ds)</t>
  </si>
  <si>
    <t>Débit minimal des sas de décontamination matériels (DsD)</t>
  </si>
  <si>
    <t>Débit des entrées d'air de compensation (Dec)</t>
  </si>
  <si>
    <t>Débit des entrées d'air de compensation additionnelles (Dea)</t>
  </si>
  <si>
    <t>Débit des entrées d'air non maitrisées (Denm)</t>
  </si>
  <si>
    <t>Débit des entrées d'air additionnelles de réglages (ou de régulation)</t>
  </si>
  <si>
    <t>Débit d'extraction complémentaire avec filtres neufs</t>
  </si>
  <si>
    <t>Débit d'extraction avec filtres encrassés (Dext)</t>
  </si>
  <si>
    <t xml:space="preserve">Bilan aéraulique étudié par : </t>
  </si>
  <si>
    <r>
      <t xml:space="preserve">Outil méthodologique de vérification* 
des bilans aérauliques pour des volumes unitaires 
sur la base de la ND 2137 
</t>
    </r>
    <r>
      <rPr>
        <b/>
        <sz val="12"/>
        <color theme="3"/>
        <rFont val="Verdana"/>
        <family val="2"/>
      </rPr>
      <t>Décret 2012-639 du 04 mai 2012 / Sous-section 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</si>
</sst>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dd/mm/yy;@"/>
    <numFmt numFmtId="166" formatCode="_-* #,##0\ _€_-;\-* #,##0\ _€_-;_-* &quot;-&quot;??\ _€_-;_-@_-"/>
    <numFmt numFmtId="167" formatCode="0.000"/>
    <numFmt numFmtId="168" formatCode="_-* #,##0.0\ _€_-;\-* #,##0.0\ _€_-;_-* &quot;-&quot;??\ _€_-;_-@_-"/>
  </numFmts>
  <fonts count="63" x14ac:knownFonts="1">
    <font>
      <sz val="10"/>
      <color theme="1"/>
      <name val="Verdana"/>
      <family val="2"/>
    </font>
    <font>
      <sz val="9"/>
      <color indexed="8"/>
      <name val="Verdana"/>
      <family val="2"/>
    </font>
    <font>
      <sz val="9"/>
      <name val="Verdana"/>
      <family val="2"/>
    </font>
    <font>
      <vertAlign val="superscript"/>
      <sz val="9"/>
      <color indexed="8"/>
      <name val="Verdana"/>
      <family val="2"/>
    </font>
    <font>
      <i/>
      <sz val="9"/>
      <name val="Verdana"/>
      <family val="2"/>
    </font>
    <font>
      <i/>
      <vertAlign val="superscript"/>
      <sz val="9"/>
      <color indexed="8"/>
      <name val="Verdana"/>
      <family val="2"/>
    </font>
    <font>
      <i/>
      <sz val="9"/>
      <color indexed="8"/>
      <name val="Verdana"/>
      <family val="2"/>
    </font>
    <font>
      <b/>
      <i/>
      <sz val="9"/>
      <name val="Verdana"/>
      <family val="2"/>
    </font>
    <font>
      <sz val="10"/>
      <color indexed="8"/>
      <name val="Verdana"/>
      <family val="2"/>
    </font>
    <font>
      <vertAlign val="superscript"/>
      <sz val="10"/>
      <color indexed="8"/>
      <name val="Verdana"/>
      <family val="2"/>
    </font>
    <font>
      <sz val="10"/>
      <color theme="1"/>
      <name val="Verdana"/>
      <family val="2"/>
    </font>
    <font>
      <b/>
      <sz val="12"/>
      <color theme="9" tint="-0.249977111117893"/>
      <name val="Calibri"/>
      <family val="2"/>
      <scheme val="minor"/>
    </font>
    <font>
      <sz val="9"/>
      <color theme="1"/>
      <name val="Verdana"/>
      <family val="2"/>
    </font>
    <font>
      <b/>
      <sz val="9"/>
      <color theme="1"/>
      <name val="Verdana"/>
      <family val="2"/>
    </font>
    <font>
      <i/>
      <sz val="9"/>
      <color theme="1"/>
      <name val="Verdana"/>
      <family val="2"/>
    </font>
    <font>
      <b/>
      <i/>
      <sz val="9"/>
      <color theme="1"/>
      <name val="Verdana"/>
      <family val="2"/>
    </font>
    <font>
      <i/>
      <sz val="9"/>
      <color theme="3"/>
      <name val="Verdana"/>
      <family val="2"/>
    </font>
    <font>
      <i/>
      <sz val="8"/>
      <color theme="1"/>
      <name val="Verdana"/>
      <family val="2"/>
    </font>
    <font>
      <b/>
      <sz val="10"/>
      <color theme="1"/>
      <name val="Verdana"/>
      <family val="2"/>
    </font>
    <font>
      <sz val="10"/>
      <color rgb="FF000000"/>
      <name val="Verdana"/>
      <family val="2"/>
    </font>
    <font>
      <i/>
      <sz val="9"/>
      <color rgb="FFFF0000"/>
      <name val="Verdana"/>
      <family val="2"/>
    </font>
    <font>
      <b/>
      <sz val="12"/>
      <color theme="3"/>
      <name val="Verdana"/>
      <family val="2"/>
    </font>
    <font>
      <b/>
      <i/>
      <sz val="10"/>
      <color theme="5" tint="-0.249977111117893"/>
      <name val="Verdana"/>
      <family val="2"/>
    </font>
    <font>
      <i/>
      <sz val="10"/>
      <color theme="5" tint="-0.249977111117893"/>
      <name val="Verdana"/>
      <family val="2"/>
    </font>
    <font>
      <b/>
      <sz val="10"/>
      <color theme="5" tint="-0.249977111117893"/>
      <name val="Verdana"/>
      <family val="2"/>
    </font>
    <font>
      <sz val="8"/>
      <color theme="1"/>
      <name val="Verdana"/>
      <family val="2"/>
    </font>
    <font>
      <b/>
      <i/>
      <sz val="9"/>
      <color theme="9" tint="-0.499984740745262"/>
      <name val="Verdana"/>
      <family val="2"/>
    </font>
    <font>
      <b/>
      <i/>
      <vertAlign val="superscript"/>
      <sz val="9"/>
      <color theme="9" tint="-0.499984740745262"/>
      <name val="Verdana"/>
      <family val="2"/>
    </font>
    <font>
      <i/>
      <vertAlign val="superscript"/>
      <sz val="9"/>
      <name val="Verdana"/>
      <family val="2"/>
    </font>
    <font>
      <b/>
      <sz val="10"/>
      <color theme="9" tint="-0.499984740745262"/>
      <name val="Verdana"/>
      <family val="2"/>
    </font>
    <font>
      <sz val="9"/>
      <color theme="0"/>
      <name val="Verdana"/>
      <family val="2"/>
    </font>
    <font>
      <b/>
      <sz val="10"/>
      <name val="Verdana"/>
      <family val="2"/>
    </font>
    <font>
      <sz val="10"/>
      <name val="Verdana"/>
      <family val="2"/>
    </font>
    <font>
      <b/>
      <i/>
      <u/>
      <sz val="9"/>
      <color theme="1"/>
      <name val="Verdana"/>
      <family val="2"/>
    </font>
    <font>
      <u/>
      <sz val="10"/>
      <color theme="1"/>
      <name val="Verdana"/>
      <family val="2"/>
    </font>
    <font>
      <b/>
      <i/>
      <sz val="8"/>
      <color theme="6" tint="0.79998168889431442"/>
      <name val="Verdana"/>
      <family val="2"/>
    </font>
    <font>
      <b/>
      <sz val="14"/>
      <color theme="3"/>
      <name val="Verdana"/>
      <family val="2"/>
    </font>
    <font>
      <sz val="14"/>
      <color theme="1"/>
      <name val="Verdana"/>
      <family val="2"/>
    </font>
    <font>
      <i/>
      <sz val="7"/>
      <color theme="1"/>
      <name val="Verdana"/>
      <family val="2"/>
    </font>
    <font>
      <sz val="12"/>
      <name val="Calibri"/>
      <family val="2"/>
      <scheme val="minor"/>
    </font>
    <font>
      <vertAlign val="superscript"/>
      <sz val="12"/>
      <name val="Calibri"/>
      <family val="2"/>
      <scheme val="minor"/>
    </font>
    <font>
      <i/>
      <vertAlign val="superscript"/>
      <sz val="9"/>
      <color theme="1"/>
      <name val="Verdana"/>
      <family val="2"/>
    </font>
    <font>
      <b/>
      <sz val="10"/>
      <color theme="9" tint="-0.249977111117893"/>
      <name val="Verdana"/>
      <family val="2"/>
    </font>
    <font>
      <b/>
      <vertAlign val="subscript"/>
      <sz val="9"/>
      <color theme="1"/>
      <name val="Verdana"/>
      <family val="2"/>
    </font>
    <font>
      <sz val="8"/>
      <color rgb="FF000000"/>
      <name val="Tahoma"/>
      <family val="2"/>
    </font>
    <font>
      <sz val="9"/>
      <color theme="6" tint="0.79998168889431442"/>
      <name val="Verdana"/>
      <family val="2"/>
    </font>
    <font>
      <sz val="12"/>
      <color theme="9" tint="-0.249977111117893"/>
      <name val="Calibri"/>
      <family val="2"/>
      <scheme val="minor"/>
    </font>
    <font>
      <sz val="9"/>
      <color indexed="81"/>
      <name val="Tahoma"/>
      <family val="2"/>
    </font>
    <font>
      <b/>
      <sz val="9"/>
      <color indexed="81"/>
      <name val="Tahoma"/>
      <family val="2"/>
    </font>
    <font>
      <i/>
      <vertAlign val="subscript"/>
      <sz val="9"/>
      <color indexed="8"/>
      <name val="Verdana"/>
      <family val="2"/>
    </font>
    <font>
      <i/>
      <vertAlign val="subscript"/>
      <sz val="9"/>
      <color theme="1"/>
      <name val="Verdana"/>
      <family val="2"/>
    </font>
    <font>
      <b/>
      <sz val="10"/>
      <color theme="0"/>
      <name val="Verdana"/>
      <family val="2"/>
    </font>
    <font>
      <b/>
      <i/>
      <sz val="10"/>
      <color theme="0"/>
      <name val="Verdana"/>
      <family val="2"/>
    </font>
    <font>
      <b/>
      <i/>
      <sz val="9"/>
      <color theme="0"/>
      <name val="Verdana"/>
      <family val="2"/>
    </font>
    <font>
      <b/>
      <sz val="10"/>
      <color theme="3" tint="-0.249977111117893"/>
      <name val="Verdana"/>
      <family val="2"/>
    </font>
    <font>
      <vertAlign val="superscript"/>
      <sz val="9"/>
      <color theme="6" tint="0.79998168889431442"/>
      <name val="Verdana"/>
      <family val="2"/>
    </font>
    <font>
      <i/>
      <sz val="10"/>
      <color theme="1"/>
      <name val="Verdana"/>
      <family val="2"/>
    </font>
    <font>
      <sz val="11"/>
      <name val="Verdana"/>
      <family val="2"/>
    </font>
    <font>
      <b/>
      <vertAlign val="superscript"/>
      <sz val="10"/>
      <color theme="0"/>
      <name val="Verdana"/>
      <family val="2"/>
    </font>
    <font>
      <i/>
      <sz val="10"/>
      <color theme="0"/>
      <name val="Verdana"/>
      <family val="2"/>
    </font>
    <font>
      <b/>
      <sz val="10"/>
      <color rgb="FFFF0000"/>
      <name val="Verdana"/>
      <family val="2"/>
    </font>
    <font>
      <sz val="10"/>
      <color theme="0"/>
      <name val="Verdana"/>
      <family val="2"/>
    </font>
    <font>
      <b/>
      <sz val="10"/>
      <color rgb="FFFFC000"/>
      <name val="Verdana"/>
      <family val="2"/>
    </font>
  </fonts>
  <fills count="12">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49998474074526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bgColor indexed="64"/>
      </patternFill>
    </fill>
    <fill>
      <patternFill patternType="solid">
        <fgColor theme="8" tint="0.79998168889431442"/>
        <bgColor indexed="64"/>
      </patternFill>
    </fill>
    <fill>
      <patternFill patternType="solid">
        <fgColor theme="9" tint="-0.499984740745262"/>
        <bgColor indexed="64"/>
      </patternFill>
    </fill>
  </fills>
  <borders count="73">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style="thin">
        <color theme="2" tint="-0.499984740745262"/>
      </top>
      <bottom/>
      <diagonal/>
    </border>
    <border>
      <left/>
      <right/>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style="thin">
        <color theme="2" tint="-0.499984740745262"/>
      </right>
      <top/>
      <bottom/>
      <diagonal/>
    </border>
    <border>
      <left/>
      <right style="thin">
        <color theme="2" tint="-0.24994659260841701"/>
      </right>
      <top/>
      <bottom/>
      <diagonal/>
    </border>
    <border>
      <left style="thin">
        <color theme="2" tint="-0.24994659260841701"/>
      </left>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right style="thin">
        <color theme="2" tint="-0.499984740745262"/>
      </right>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theme="2" tint="-0.499984740745262"/>
      </top>
      <bottom style="thin">
        <color theme="2"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style="thin">
        <color indexed="64"/>
      </top>
      <bottom/>
      <diagonal/>
    </border>
    <border>
      <left style="thin">
        <color indexed="64"/>
      </left>
      <right/>
      <top style="thin">
        <color auto="1"/>
      </top>
      <bottom/>
      <diagonal/>
    </border>
    <border>
      <left/>
      <right style="thin">
        <color indexed="64"/>
      </right>
      <top style="thin">
        <color auto="1"/>
      </top>
      <bottom/>
      <diagonal/>
    </border>
    <border>
      <left style="thin">
        <color theme="6" tint="0.39994506668294322"/>
      </left>
      <right/>
      <top style="thin">
        <color theme="6" tint="0.39994506668294322"/>
      </top>
      <bottom/>
      <diagonal/>
    </border>
    <border>
      <left/>
      <right/>
      <top style="thin">
        <color theme="6" tint="0.39994506668294322"/>
      </top>
      <bottom/>
      <diagonal/>
    </border>
    <border>
      <left/>
      <right style="thin">
        <color theme="6" tint="0.39994506668294322"/>
      </right>
      <top style="thin">
        <color theme="6" tint="0.39994506668294322"/>
      </top>
      <bottom/>
      <diagonal/>
    </border>
    <border>
      <left style="thin">
        <color theme="6" tint="0.39994506668294322"/>
      </left>
      <right/>
      <top/>
      <bottom/>
      <diagonal/>
    </border>
    <border>
      <left/>
      <right style="thin">
        <color theme="6" tint="0.39994506668294322"/>
      </right>
      <top/>
      <bottom/>
      <diagonal/>
    </border>
    <border>
      <left style="thin">
        <color theme="6" tint="0.39994506668294322"/>
      </left>
      <right/>
      <top/>
      <bottom style="thin">
        <color theme="6" tint="0.39994506668294322"/>
      </bottom>
      <diagonal/>
    </border>
    <border>
      <left/>
      <right/>
      <top/>
      <bottom style="thin">
        <color theme="6" tint="0.39994506668294322"/>
      </bottom>
      <diagonal/>
    </border>
    <border>
      <left/>
      <right style="thin">
        <color theme="6" tint="0.39994506668294322"/>
      </right>
      <top/>
      <bottom style="thin">
        <color theme="6" tint="0.39994506668294322"/>
      </bottom>
      <diagonal/>
    </border>
    <border>
      <left style="thin">
        <color theme="2" tint="-0.499984740745262"/>
      </left>
      <right/>
      <top/>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499984740745262"/>
      </left>
      <right/>
      <top/>
      <bottom style="thin">
        <color theme="2" tint="-0.499984740745262"/>
      </bottom>
      <diagonal/>
    </border>
    <border>
      <left/>
      <right style="thin">
        <color theme="2" tint="-0.499984740745262"/>
      </right>
      <top/>
      <bottom style="thin">
        <color theme="2" tint="-0.499984740745262"/>
      </bottom>
      <diagonal/>
    </border>
    <border>
      <left/>
      <right style="thin">
        <color theme="2" tint="-0.499984740745262"/>
      </right>
      <top/>
      <bottom/>
      <diagonal/>
    </border>
    <border>
      <left/>
      <right style="thin">
        <color theme="2" tint="-0.499984740745262"/>
      </right>
      <top style="thin">
        <color theme="2" tint="-0.499984740745262"/>
      </top>
      <bottom/>
      <diagonal/>
    </border>
    <border>
      <left style="thin">
        <color theme="2" tint="-0.24994659260841701"/>
      </left>
      <right style="thin">
        <color theme="2" tint="-0.24994659260841701"/>
      </right>
      <top/>
      <bottom style="thin">
        <color theme="2" tint="-0.24994659260841701"/>
      </bottom>
      <diagonal/>
    </border>
    <border>
      <left style="thin">
        <color theme="2" tint="-0.499984740745262"/>
      </left>
      <right/>
      <top style="thin">
        <color theme="2" tint="-0.499984740745262"/>
      </top>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style="thin">
        <color theme="2" tint="-0.499984740745262"/>
      </left>
      <right style="thin">
        <color theme="2" tint="-0.749961851863155"/>
      </right>
      <top style="thin">
        <color theme="2" tint="-0.749961851863155"/>
      </top>
      <bottom/>
      <diagonal/>
    </border>
    <border>
      <left style="thin">
        <color theme="2" tint="-0.749961851863155"/>
      </left>
      <right/>
      <top style="thin">
        <color theme="2" tint="-0.749961851863155"/>
      </top>
      <bottom/>
      <diagonal/>
    </border>
    <border>
      <left/>
      <right/>
      <top style="thin">
        <color theme="2" tint="-0.749961851863155"/>
      </top>
      <bottom/>
      <diagonal/>
    </border>
    <border>
      <left/>
      <right style="thin">
        <color theme="2" tint="-0.499984740745262"/>
      </right>
      <top style="thin">
        <color theme="2" tint="-0.749961851863155"/>
      </top>
      <bottom/>
      <diagonal/>
    </border>
    <border>
      <left style="thin">
        <color theme="2" tint="-0.749961851863155"/>
      </left>
      <right/>
      <top/>
      <bottom/>
      <diagonal/>
    </border>
    <border>
      <left style="thin">
        <color theme="2" tint="-0.749961851863155"/>
      </left>
      <right/>
      <top/>
      <bottom style="thin">
        <color theme="2" tint="-0.749961851863155"/>
      </bottom>
      <diagonal/>
    </border>
    <border>
      <left/>
      <right/>
      <top/>
      <bottom style="thin">
        <color theme="2" tint="-0.749961851863155"/>
      </bottom>
      <diagonal/>
    </border>
    <border>
      <left style="thin">
        <color theme="2" tint="-0.749961851863155"/>
      </left>
      <right style="thin">
        <color theme="2" tint="-0.749961851863155"/>
      </right>
      <top/>
      <bottom style="thin">
        <color theme="2" tint="-0.749961851863155"/>
      </bottom>
      <diagonal/>
    </border>
    <border>
      <left/>
      <right style="thin">
        <color theme="2" tint="-0.749961851863155"/>
      </right>
      <top/>
      <bottom/>
      <diagonal/>
    </border>
    <border>
      <left/>
      <right style="thin">
        <color theme="2" tint="-0.749961851863155"/>
      </right>
      <top/>
      <bottom style="thin">
        <color theme="2" tint="-0.749961851863155"/>
      </bottom>
      <diagonal/>
    </border>
    <border>
      <left style="thin">
        <color theme="2" tint="-0.749961851863155"/>
      </left>
      <right style="thin">
        <color theme="2" tint="-0.749961851863155"/>
      </right>
      <top/>
      <bottom/>
      <diagonal/>
    </border>
    <border>
      <left style="thin">
        <color theme="2" tint="-0.749961851863155"/>
      </left>
      <right/>
      <top/>
      <bottom style="thin">
        <color indexed="64"/>
      </bottom>
      <diagonal/>
    </border>
    <border>
      <left/>
      <right style="thin">
        <color theme="2" tint="-0.499984740745262"/>
      </right>
      <top/>
      <bottom style="thin">
        <color indexed="64"/>
      </bottom>
      <diagonal/>
    </border>
    <border>
      <left style="thin">
        <color theme="2" tint="-0.499984740745262"/>
      </left>
      <right style="thin">
        <color theme="2" tint="-0.749961851863155"/>
      </right>
      <top/>
      <bottom style="thin">
        <color indexed="64"/>
      </bottom>
      <diagonal/>
    </border>
    <border>
      <left style="thin">
        <color theme="2" tint="-0.749961851863155"/>
      </left>
      <right/>
      <top style="thin">
        <color indexed="64"/>
      </top>
      <bottom/>
      <diagonal/>
    </border>
    <border>
      <left/>
      <right style="thin">
        <color theme="2" tint="-0.499984740745262"/>
      </right>
      <top style="thin">
        <color indexed="64"/>
      </top>
      <bottom/>
      <diagonal/>
    </border>
    <border>
      <left style="thin">
        <color theme="2" tint="-0.499984740745262"/>
      </left>
      <right style="thin">
        <color theme="2" tint="-0.749961851863155"/>
      </right>
      <top style="thin">
        <color indexed="64"/>
      </top>
      <bottom/>
      <diagonal/>
    </border>
    <border>
      <left style="thin">
        <color theme="2" tint="-0.24994659260841701"/>
      </left>
      <right style="thin">
        <color indexed="64"/>
      </right>
      <top/>
      <bottom/>
      <diagonal/>
    </border>
    <border>
      <left/>
      <right/>
      <top style="thin">
        <color indexed="64"/>
      </top>
      <bottom style="thin">
        <color theme="2" tint="-0.24994659260841701"/>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0" fillId="0" borderId="0" applyFont="0" applyFill="0" applyBorder="0" applyAlignment="0" applyProtection="0"/>
  </cellStyleXfs>
  <cellXfs count="377">
    <xf numFmtId="0" fontId="0" fillId="0" borderId="0" xfId="0"/>
    <xf numFmtId="0" fontId="11" fillId="2" borderId="0" xfId="0" applyFont="1" applyFill="1" applyBorder="1" applyAlignment="1" applyProtection="1">
      <alignment vertical="center"/>
    </xf>
    <xf numFmtId="0" fontId="12" fillId="0" borderId="0" xfId="0" applyFont="1" applyAlignment="1" applyProtection="1">
      <alignment vertical="center"/>
    </xf>
    <xf numFmtId="0" fontId="12" fillId="2" borderId="0" xfId="0" applyFont="1" applyFill="1" applyBorder="1" applyAlignment="1" applyProtection="1">
      <alignment vertical="center"/>
    </xf>
    <xf numFmtId="0" fontId="12" fillId="2" borderId="1" xfId="0" applyFont="1" applyFill="1" applyBorder="1" applyAlignment="1" applyProtection="1">
      <alignment horizontal="center" vertical="center"/>
    </xf>
    <xf numFmtId="0" fontId="13" fillId="2" borderId="2" xfId="0" applyFont="1" applyFill="1" applyBorder="1" applyAlignment="1" applyProtection="1">
      <alignment vertical="center"/>
    </xf>
    <xf numFmtId="0" fontId="13" fillId="2" borderId="1" xfId="0" applyFont="1" applyFill="1" applyBorder="1" applyAlignment="1" applyProtection="1">
      <alignment vertical="center"/>
    </xf>
    <xf numFmtId="0" fontId="14"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14" fillId="2" borderId="0" xfId="0" applyFont="1" applyFill="1" applyBorder="1" applyAlignment="1" applyProtection="1">
      <alignment vertical="center" wrapText="1"/>
    </xf>
    <xf numFmtId="0" fontId="12" fillId="2" borderId="2" xfId="0" applyFont="1" applyFill="1" applyBorder="1" applyAlignment="1" applyProtection="1">
      <alignment horizontal="left" vertical="center" indent="4"/>
    </xf>
    <xf numFmtId="0" fontId="12" fillId="0" borderId="0" xfId="0" applyFont="1" applyAlignment="1" applyProtection="1">
      <alignment horizontal="center" vertical="center"/>
    </xf>
    <xf numFmtId="0" fontId="12" fillId="2" borderId="2"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left" vertical="center" indent="3"/>
    </xf>
    <xf numFmtId="0" fontId="12" fillId="2" borderId="7" xfId="0" applyFont="1" applyFill="1" applyBorder="1" applyAlignment="1" applyProtection="1">
      <alignment horizontal="left" vertical="center" indent="3"/>
    </xf>
    <xf numFmtId="0" fontId="14" fillId="2" borderId="4" xfId="0" applyFont="1" applyFill="1" applyBorder="1" applyAlignment="1" applyProtection="1">
      <alignment vertical="center" wrapText="1"/>
    </xf>
    <xf numFmtId="1" fontId="7" fillId="2" borderId="0" xfId="0" applyNumberFormat="1" applyFont="1" applyFill="1" applyBorder="1" applyAlignment="1" applyProtection="1">
      <alignment horizontal="center" vertical="center"/>
    </xf>
    <xf numFmtId="0" fontId="17" fillId="0" borderId="0" xfId="0" applyFont="1" applyAlignment="1" applyProtection="1">
      <alignment vertical="center" wrapText="1"/>
    </xf>
    <xf numFmtId="0" fontId="17" fillId="2" borderId="0" xfId="0" applyFont="1" applyFill="1" applyBorder="1" applyAlignment="1" applyProtection="1">
      <alignment vertical="center" wrapText="1"/>
    </xf>
    <xf numFmtId="0" fontId="12" fillId="2" borderId="8" xfId="0" applyFont="1" applyFill="1" applyBorder="1" applyAlignment="1" applyProtection="1">
      <alignment horizontal="center" vertical="center"/>
    </xf>
    <xf numFmtId="0" fontId="17" fillId="2" borderId="3" xfId="0" applyFont="1" applyFill="1" applyBorder="1" applyAlignment="1" applyProtection="1">
      <alignment vertical="center" wrapText="1"/>
    </xf>
    <xf numFmtId="0" fontId="12" fillId="2" borderId="9" xfId="0" applyFont="1" applyFill="1" applyBorder="1" applyAlignment="1" applyProtection="1">
      <alignment vertical="center"/>
    </xf>
    <xf numFmtId="0" fontId="12" fillId="2" borderId="10" xfId="0" applyFont="1" applyFill="1" applyBorder="1" applyAlignment="1" applyProtection="1">
      <alignment horizontal="center" vertical="center"/>
    </xf>
    <xf numFmtId="0" fontId="17" fillId="2" borderId="11" xfId="0" applyFont="1" applyFill="1" applyBorder="1" applyAlignment="1" applyProtection="1">
      <alignment vertical="center" wrapText="1"/>
    </xf>
    <xf numFmtId="0" fontId="12" fillId="2" borderId="12" xfId="0" applyFont="1" applyFill="1" applyBorder="1" applyAlignment="1" applyProtection="1">
      <alignment vertical="center"/>
    </xf>
    <xf numFmtId="0" fontId="17" fillId="2" borderId="13" xfId="0" applyFont="1" applyFill="1" applyBorder="1" applyAlignment="1" applyProtection="1">
      <alignment vertical="center" wrapText="1"/>
    </xf>
    <xf numFmtId="0" fontId="12" fillId="2" borderId="14" xfId="0" applyFont="1" applyFill="1" applyBorder="1" applyAlignment="1" applyProtection="1">
      <alignment vertical="center"/>
    </xf>
    <xf numFmtId="0" fontId="13" fillId="2" borderId="12" xfId="0" applyFont="1" applyFill="1" applyBorder="1" applyAlignment="1" applyProtection="1">
      <alignment horizontal="left" vertical="center"/>
    </xf>
    <xf numFmtId="0" fontId="12" fillId="2" borderId="15" xfId="0" applyFont="1" applyFill="1" applyBorder="1" applyAlignment="1" applyProtection="1">
      <alignment vertical="center"/>
    </xf>
    <xf numFmtId="0" fontId="16" fillId="2" borderId="16" xfId="0" applyFont="1" applyFill="1" applyBorder="1" applyAlignment="1" applyProtection="1">
      <alignment vertical="center"/>
    </xf>
    <xf numFmtId="0" fontId="16" fillId="2" borderId="16" xfId="0" applyFont="1" applyFill="1" applyBorder="1" applyAlignment="1" applyProtection="1">
      <alignment horizontal="center" vertical="center"/>
    </xf>
    <xf numFmtId="0" fontId="17" fillId="2" borderId="17" xfId="0" applyFont="1" applyFill="1" applyBorder="1" applyAlignment="1" applyProtection="1">
      <alignment vertical="center" wrapText="1"/>
    </xf>
    <xf numFmtId="0" fontId="11" fillId="2" borderId="10" xfId="0" applyFont="1" applyFill="1" applyBorder="1" applyAlignment="1" applyProtection="1">
      <alignment vertical="center"/>
    </xf>
    <xf numFmtId="0" fontId="13" fillId="2" borderId="14" xfId="0" applyFont="1" applyFill="1" applyBorder="1" applyAlignment="1" applyProtection="1">
      <alignment horizontal="left" vertical="center"/>
    </xf>
    <xf numFmtId="0" fontId="14" fillId="2" borderId="14" xfId="0" applyFont="1" applyFill="1" applyBorder="1" applyAlignment="1" applyProtection="1">
      <alignment vertical="center" wrapText="1"/>
    </xf>
    <xf numFmtId="0" fontId="15" fillId="2" borderId="16" xfId="0" applyFont="1" applyFill="1" applyBorder="1" applyAlignment="1" applyProtection="1">
      <alignment vertical="center"/>
    </xf>
    <xf numFmtId="1" fontId="7" fillId="2" borderId="16" xfId="0" applyNumberFormat="1"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7" fillId="2" borderId="10" xfId="0" applyFont="1" applyFill="1" applyBorder="1" applyAlignment="1" applyProtection="1">
      <alignment vertical="center" wrapText="1"/>
    </xf>
    <xf numFmtId="0" fontId="17" fillId="2" borderId="16" xfId="0" applyFont="1" applyFill="1" applyBorder="1" applyAlignment="1" applyProtection="1">
      <alignment vertical="center" wrapText="1"/>
    </xf>
    <xf numFmtId="0" fontId="13" fillId="2" borderId="12" xfId="0" applyFont="1" applyFill="1" applyBorder="1" applyAlignment="1" applyProtection="1">
      <alignment vertical="center"/>
    </xf>
    <xf numFmtId="0" fontId="17" fillId="2" borderId="0" xfId="0" applyFont="1" applyFill="1" applyBorder="1" applyAlignment="1" applyProtection="1">
      <alignment horizontal="left" vertical="center" wrapText="1" indent="1"/>
    </xf>
    <xf numFmtId="0" fontId="13" fillId="2" borderId="5" xfId="0" applyFont="1" applyFill="1" applyBorder="1" applyAlignment="1" applyProtection="1">
      <alignment vertical="center"/>
    </xf>
    <xf numFmtId="0" fontId="13" fillId="2" borderId="8" xfId="0" applyFont="1" applyFill="1" applyBorder="1" applyAlignment="1" applyProtection="1">
      <alignment vertical="center"/>
    </xf>
    <xf numFmtId="0" fontId="17" fillId="0" borderId="0" xfId="0" applyFont="1" applyFill="1" applyBorder="1" applyAlignment="1" applyProtection="1">
      <alignment vertical="center" wrapText="1"/>
    </xf>
    <xf numFmtId="0" fontId="12" fillId="0" borderId="0" xfId="0" applyFont="1" applyFill="1" applyAlignment="1" applyProtection="1">
      <alignment vertical="center"/>
    </xf>
    <xf numFmtId="0" fontId="13" fillId="2" borderId="3" xfId="0" applyFont="1" applyFill="1" applyBorder="1" applyAlignment="1" applyProtection="1">
      <alignment horizontal="right" vertical="center"/>
    </xf>
    <xf numFmtId="0" fontId="12" fillId="2" borderId="1" xfId="0" applyFont="1" applyFill="1" applyBorder="1" applyAlignment="1" applyProtection="1">
      <alignment vertical="center"/>
      <protection locked="0"/>
    </xf>
    <xf numFmtId="0" fontId="12" fillId="4" borderId="1" xfId="0"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9" fillId="0" borderId="0" xfId="0" applyFont="1" applyAlignment="1">
      <alignment horizontal="center" readingOrder="1"/>
    </xf>
    <xf numFmtId="2" fontId="0" fillId="0" borderId="0" xfId="0" applyNumberFormat="1"/>
    <xf numFmtId="1" fontId="0" fillId="0" borderId="0" xfId="0" applyNumberFormat="1"/>
    <xf numFmtId="43" fontId="10" fillId="0" borderId="0" xfId="1" applyFont="1"/>
    <xf numFmtId="0" fontId="17" fillId="2" borderId="18" xfId="0" applyFont="1" applyFill="1" applyBorder="1" applyAlignment="1" applyProtection="1">
      <alignment vertical="center" wrapText="1"/>
    </xf>
    <xf numFmtId="0" fontId="13" fillId="2" borderId="0" xfId="0" applyFont="1" applyFill="1" applyBorder="1" applyAlignment="1" applyProtection="1">
      <alignment horizontal="right" vertical="center"/>
    </xf>
    <xf numFmtId="0" fontId="12" fillId="2" borderId="20" xfId="0" applyFont="1" applyFill="1" applyBorder="1" applyAlignment="1" applyProtection="1">
      <alignment horizontal="center" vertical="center"/>
      <protection locked="0"/>
    </xf>
    <xf numFmtId="0" fontId="4" fillId="2" borderId="0" xfId="0" applyFont="1" applyFill="1" applyBorder="1" applyAlignment="1" applyProtection="1">
      <alignment vertical="center"/>
    </xf>
    <xf numFmtId="0" fontId="17" fillId="2" borderId="0" xfId="0" applyFont="1" applyFill="1" applyBorder="1" applyAlignment="1" applyProtection="1">
      <alignment horizontal="left" vertical="center" wrapText="1"/>
    </xf>
    <xf numFmtId="0" fontId="2" fillId="4" borderId="1" xfId="0" applyFont="1" applyFill="1" applyBorder="1" applyAlignment="1" applyProtection="1">
      <alignment horizontal="center" vertical="center"/>
      <protection locked="0"/>
    </xf>
    <xf numFmtId="0" fontId="0" fillId="0" borderId="0" xfId="0" applyAlignment="1" applyProtection="1">
      <alignment vertical="center" wrapText="1"/>
    </xf>
    <xf numFmtId="0" fontId="15"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0" fillId="0" borderId="21" xfId="0" applyBorder="1" applyAlignment="1" applyProtection="1">
      <alignment vertical="center" wrapText="1"/>
    </xf>
    <xf numFmtId="0" fontId="0" fillId="0" borderId="22" xfId="0" applyBorder="1" applyAlignment="1" applyProtection="1">
      <alignment vertical="center" wrapText="1"/>
    </xf>
    <xf numFmtId="0" fontId="12" fillId="0" borderId="24"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xf>
    <xf numFmtId="0" fontId="17" fillId="0" borderId="0" xfId="0" applyFont="1" applyBorder="1" applyAlignment="1" applyProtection="1">
      <alignment vertical="center" wrapText="1"/>
    </xf>
    <xf numFmtId="0" fontId="12" fillId="0" borderId="25" xfId="0" applyFont="1" applyBorder="1" applyAlignment="1" applyProtection="1">
      <alignment vertical="center"/>
    </xf>
    <xf numFmtId="0" fontId="12" fillId="2" borderId="0" xfId="0" applyFont="1" applyFill="1" applyBorder="1" applyAlignment="1" applyProtection="1">
      <alignment horizontal="center" vertical="center"/>
    </xf>
    <xf numFmtId="0" fontId="17" fillId="2" borderId="0" xfId="0" applyFont="1" applyFill="1" applyBorder="1" applyAlignment="1" applyProtection="1">
      <alignment vertical="top" wrapText="1"/>
    </xf>
    <xf numFmtId="0" fontId="12" fillId="4" borderId="24" xfId="0" applyFont="1" applyFill="1" applyBorder="1" applyAlignment="1" applyProtection="1">
      <alignment vertical="center"/>
    </xf>
    <xf numFmtId="0" fontId="12" fillId="4" borderId="0" xfId="0" applyFont="1" applyFill="1" applyBorder="1" applyAlignment="1" applyProtection="1">
      <alignment vertical="center"/>
    </xf>
    <xf numFmtId="0" fontId="15" fillId="4" borderId="0" xfId="0" applyFont="1" applyFill="1" applyBorder="1" applyAlignment="1" applyProtection="1">
      <alignment vertical="center"/>
    </xf>
    <xf numFmtId="1" fontId="7" fillId="4" borderId="0" xfId="0" applyNumberFormat="1"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7" fillId="4" borderId="0" xfId="0" applyFont="1" applyFill="1" applyBorder="1" applyAlignment="1" applyProtection="1">
      <alignment vertical="center" wrapText="1"/>
    </xf>
    <xf numFmtId="0" fontId="12" fillId="4" borderId="25" xfId="0" applyFont="1" applyFill="1" applyBorder="1" applyAlignment="1" applyProtection="1">
      <alignment vertical="center"/>
    </xf>
    <xf numFmtId="0" fontId="12" fillId="4" borderId="26" xfId="0" applyFont="1" applyFill="1" applyBorder="1" applyAlignment="1" applyProtection="1">
      <alignment vertical="center"/>
    </xf>
    <xf numFmtId="0" fontId="12" fillId="4" borderId="27" xfId="0" applyFont="1" applyFill="1" applyBorder="1" applyAlignment="1" applyProtection="1">
      <alignment vertical="center"/>
    </xf>
    <xf numFmtId="0" fontId="15" fillId="4" borderId="27" xfId="0" applyFont="1" applyFill="1" applyBorder="1" applyAlignment="1" applyProtection="1">
      <alignment vertical="center"/>
    </xf>
    <xf numFmtId="1" fontId="7" fillId="4" borderId="27" xfId="0" applyNumberFormat="1"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17" fillId="4" borderId="27" xfId="0" applyFont="1" applyFill="1" applyBorder="1" applyAlignment="1" applyProtection="1">
      <alignment vertical="center" wrapText="1"/>
    </xf>
    <xf numFmtId="0" fontId="12" fillId="4" borderId="28" xfId="0" applyFont="1" applyFill="1" applyBorder="1" applyAlignment="1" applyProtection="1">
      <alignment vertical="center"/>
    </xf>
    <xf numFmtId="0" fontId="12" fillId="4" borderId="33" xfId="0" applyFont="1" applyFill="1" applyBorder="1" applyAlignment="1" applyProtection="1">
      <alignment vertical="center"/>
    </xf>
    <xf numFmtId="0" fontId="12" fillId="4" borderId="32" xfId="0" applyFont="1" applyFill="1" applyBorder="1" applyAlignment="1" applyProtection="1">
      <alignment vertical="center"/>
    </xf>
    <xf numFmtId="0" fontId="12" fillId="4" borderId="34" xfId="0" applyFont="1" applyFill="1" applyBorder="1" applyAlignment="1" applyProtection="1">
      <alignment vertical="center"/>
    </xf>
    <xf numFmtId="0" fontId="11" fillId="4" borderId="24" xfId="0" applyFont="1" applyFill="1" applyBorder="1" applyAlignment="1" applyProtection="1">
      <alignment vertical="center"/>
    </xf>
    <xf numFmtId="0" fontId="13" fillId="4" borderId="24" xfId="0" applyFont="1" applyFill="1" applyBorder="1" applyAlignment="1" applyProtection="1">
      <alignment horizontal="left" vertical="center"/>
    </xf>
    <xf numFmtId="0" fontId="14" fillId="4" borderId="24" xfId="0" applyFont="1" applyFill="1" applyBorder="1" applyAlignment="1" applyProtection="1">
      <alignment vertical="center" wrapText="1"/>
    </xf>
    <xf numFmtId="0" fontId="13" fillId="4" borderId="24" xfId="0" applyFont="1" applyFill="1" applyBorder="1" applyAlignment="1" applyProtection="1">
      <alignment vertical="center"/>
    </xf>
    <xf numFmtId="0" fontId="0" fillId="4" borderId="25" xfId="0" applyFill="1" applyBorder="1" applyAlignment="1" applyProtection="1">
      <alignment vertical="center"/>
    </xf>
    <xf numFmtId="0" fontId="11" fillId="4" borderId="25" xfId="0" applyFont="1" applyFill="1" applyBorder="1" applyAlignment="1" applyProtection="1">
      <alignment vertical="center"/>
    </xf>
    <xf numFmtId="0" fontId="14" fillId="4" borderId="25" xfId="0" applyFont="1" applyFill="1" applyBorder="1" applyAlignment="1" applyProtection="1">
      <alignment vertical="center"/>
    </xf>
    <xf numFmtId="0" fontId="13" fillId="4" borderId="27" xfId="0" applyFont="1" applyFill="1" applyBorder="1" applyAlignment="1" applyProtection="1">
      <alignment vertical="center"/>
    </xf>
    <xf numFmtId="0" fontId="12" fillId="4" borderId="27"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6" fillId="4" borderId="0" xfId="0" applyFont="1" applyFill="1" applyBorder="1" applyAlignment="1" applyProtection="1">
      <alignment vertical="center"/>
    </xf>
    <xf numFmtId="0" fontId="16" fillId="4" borderId="0" xfId="0" applyFont="1" applyFill="1" applyBorder="1" applyAlignment="1" applyProtection="1">
      <alignment horizontal="center" vertical="center"/>
    </xf>
    <xf numFmtId="0" fontId="12" fillId="2" borderId="38" xfId="0" applyFont="1" applyFill="1" applyBorder="1" applyAlignment="1" applyProtection="1">
      <alignment vertical="center"/>
    </xf>
    <xf numFmtId="0" fontId="17" fillId="2" borderId="39" xfId="0" applyFont="1" applyFill="1" applyBorder="1" applyAlignment="1" applyProtection="1">
      <alignment vertical="center" wrapText="1"/>
    </xf>
    <xf numFmtId="0" fontId="12" fillId="2" borderId="40" xfId="0" applyFont="1" applyFill="1" applyBorder="1" applyAlignment="1" applyProtection="1">
      <alignment vertical="center"/>
    </xf>
    <xf numFmtId="0" fontId="17" fillId="2" borderId="42" xfId="0" applyFont="1" applyFill="1" applyBorder="1" applyAlignment="1" applyProtection="1">
      <alignment vertical="center" wrapText="1"/>
    </xf>
    <xf numFmtId="0" fontId="12" fillId="2" borderId="35" xfId="0" applyFont="1" applyFill="1" applyBorder="1" applyAlignment="1" applyProtection="1">
      <alignment vertical="center"/>
    </xf>
    <xf numFmtId="0" fontId="12" fillId="2" borderId="36" xfId="0" applyFont="1" applyFill="1" applyBorder="1" applyAlignment="1" applyProtection="1">
      <alignment vertical="center"/>
    </xf>
    <xf numFmtId="0" fontId="12" fillId="2" borderId="36" xfId="0" applyFont="1" applyFill="1" applyBorder="1" applyAlignment="1" applyProtection="1">
      <alignment horizontal="center" vertical="center"/>
    </xf>
    <xf numFmtId="0" fontId="17" fillId="2" borderId="36" xfId="0" applyFont="1" applyFill="1" applyBorder="1" applyAlignment="1" applyProtection="1">
      <alignment vertical="center" wrapText="1"/>
    </xf>
    <xf numFmtId="0" fontId="11" fillId="4" borderId="0" xfId="0" applyFont="1" applyFill="1" applyBorder="1" applyAlignment="1" applyProtection="1">
      <alignment vertical="center"/>
    </xf>
    <xf numFmtId="0" fontId="0" fillId="4" borderId="0" xfId="0" applyFill="1" applyBorder="1" applyAlignment="1" applyProtection="1">
      <alignment vertical="center"/>
    </xf>
    <xf numFmtId="0" fontId="11" fillId="2" borderId="35" xfId="0" applyFont="1" applyFill="1" applyBorder="1" applyAlignment="1" applyProtection="1">
      <alignment vertical="center"/>
    </xf>
    <xf numFmtId="0" fontId="0" fillId="2" borderId="36" xfId="0" applyFill="1" applyBorder="1" applyAlignment="1" applyProtection="1">
      <alignment vertical="center"/>
    </xf>
    <xf numFmtId="0" fontId="0" fillId="2" borderId="37" xfId="0" applyFill="1" applyBorder="1" applyAlignment="1" applyProtection="1">
      <alignment vertical="center"/>
    </xf>
    <xf numFmtId="0" fontId="11" fillId="2" borderId="38" xfId="0" applyFont="1" applyFill="1" applyBorder="1" applyAlignment="1" applyProtection="1">
      <alignment vertical="center"/>
    </xf>
    <xf numFmtId="0" fontId="0" fillId="2" borderId="39" xfId="0" applyFill="1" applyBorder="1" applyAlignment="1" applyProtection="1">
      <alignment vertical="center"/>
    </xf>
    <xf numFmtId="0" fontId="11" fillId="2" borderId="40" xfId="0" applyFont="1" applyFill="1" applyBorder="1" applyAlignment="1" applyProtection="1">
      <alignment vertical="center"/>
    </xf>
    <xf numFmtId="0" fontId="0" fillId="2" borderId="41" xfId="0" applyFill="1" applyBorder="1" applyAlignment="1" applyProtection="1">
      <alignment vertical="center"/>
    </xf>
    <xf numFmtId="0" fontId="0" fillId="2" borderId="42" xfId="0" applyFill="1" applyBorder="1" applyAlignment="1" applyProtection="1">
      <alignment vertical="center"/>
    </xf>
    <xf numFmtId="0" fontId="17" fillId="2" borderId="37" xfId="0" applyFont="1" applyFill="1" applyBorder="1" applyAlignment="1" applyProtection="1">
      <alignment vertical="center" wrapText="1"/>
    </xf>
    <xf numFmtId="0" fontId="12" fillId="2" borderId="39" xfId="0" applyFont="1" applyFill="1" applyBorder="1" applyAlignment="1" applyProtection="1">
      <alignment vertical="center"/>
    </xf>
    <xf numFmtId="0" fontId="13" fillId="2" borderId="2" xfId="0" applyFont="1" applyFill="1" applyBorder="1" applyAlignment="1" applyProtection="1">
      <alignment vertical="center" wrapText="1"/>
    </xf>
    <xf numFmtId="0" fontId="12" fillId="2" borderId="4" xfId="0" applyFont="1" applyFill="1" applyBorder="1" applyAlignment="1" applyProtection="1">
      <alignment horizontal="center" vertical="center"/>
    </xf>
    <xf numFmtId="0" fontId="11" fillId="2" borderId="4" xfId="0" applyFont="1" applyFill="1" applyBorder="1" applyAlignment="1" applyProtection="1">
      <alignment vertical="center"/>
    </xf>
    <xf numFmtId="0" fontId="12" fillId="4" borderId="5" xfId="0" applyFont="1" applyFill="1" applyBorder="1" applyAlignment="1" applyProtection="1">
      <alignment horizontal="center" vertical="center"/>
    </xf>
    <xf numFmtId="0" fontId="13" fillId="2" borderId="1" xfId="0" applyFont="1" applyFill="1" applyBorder="1" applyAlignment="1" applyProtection="1">
      <alignment vertical="center" wrapText="1"/>
    </xf>
    <xf numFmtId="0" fontId="15" fillId="2" borderId="0" xfId="0" applyFont="1" applyFill="1" applyBorder="1" applyAlignment="1" applyProtection="1">
      <alignment horizontal="center" vertical="center"/>
    </xf>
    <xf numFmtId="0" fontId="13" fillId="2" borderId="0" xfId="0" applyFont="1" applyFill="1" applyBorder="1" applyAlignment="1" applyProtection="1">
      <alignment vertical="center"/>
    </xf>
    <xf numFmtId="164" fontId="13" fillId="2" borderId="0" xfId="0" applyNumberFormat="1" applyFont="1" applyFill="1" applyBorder="1" applyAlignment="1" applyProtection="1">
      <alignment horizontal="center" vertical="center"/>
    </xf>
    <xf numFmtId="1" fontId="14" fillId="2" borderId="0" xfId="0" applyNumberFormat="1" applyFont="1" applyFill="1" applyBorder="1" applyAlignment="1" applyProtection="1">
      <alignment vertical="center" wrapText="1"/>
    </xf>
    <xf numFmtId="166" fontId="12" fillId="4" borderId="1" xfId="1" applyNumberFormat="1" applyFont="1" applyFill="1" applyBorder="1" applyAlignment="1" applyProtection="1">
      <alignment horizontal="center" vertical="center"/>
      <protection locked="0"/>
    </xf>
    <xf numFmtId="166" fontId="14" fillId="2" borderId="0" xfId="1" applyNumberFormat="1" applyFont="1" applyFill="1" applyBorder="1" applyAlignment="1" applyProtection="1">
      <alignment horizontal="center" vertical="center"/>
    </xf>
    <xf numFmtId="166" fontId="4" fillId="2" borderId="0" xfId="1" applyNumberFormat="1" applyFont="1" applyFill="1" applyBorder="1" applyAlignment="1" applyProtection="1">
      <alignment horizontal="center" vertical="center"/>
    </xf>
    <xf numFmtId="0" fontId="23" fillId="2" borderId="0" xfId="0" applyFont="1" applyFill="1" applyBorder="1" applyAlignment="1" applyProtection="1">
      <alignment horizontal="left" vertical="center" wrapText="1" indent="1"/>
    </xf>
    <xf numFmtId="1" fontId="13" fillId="2" borderId="1" xfId="0" applyNumberFormat="1"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16" xfId="0" applyFont="1" applyFill="1" applyBorder="1" applyAlignment="1" applyProtection="1">
      <alignment vertical="center"/>
    </xf>
    <xf numFmtId="167" fontId="12" fillId="4" borderId="1" xfId="0" applyNumberFormat="1" applyFont="1" applyFill="1" applyBorder="1" applyAlignment="1" applyProtection="1">
      <alignment horizontal="center" vertical="center"/>
      <protection locked="0"/>
    </xf>
    <xf numFmtId="0" fontId="26" fillId="2" borderId="0" xfId="0" applyFont="1" applyFill="1" applyBorder="1" applyAlignment="1" applyProtection="1">
      <alignment vertical="center"/>
    </xf>
    <xf numFmtId="0" fontId="26" fillId="2" borderId="0" xfId="0" applyFont="1" applyFill="1" applyBorder="1" applyAlignment="1" applyProtection="1">
      <alignment horizontal="center" vertical="center"/>
    </xf>
    <xf numFmtId="1" fontId="26"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2" fontId="12" fillId="4" borderId="19" xfId="0" applyNumberFormat="1" applyFont="1" applyFill="1" applyBorder="1" applyAlignment="1" applyProtection="1">
      <alignment horizontal="center" vertical="center"/>
      <protection locked="0"/>
    </xf>
    <xf numFmtId="166" fontId="12" fillId="4" borderId="44" xfId="1"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xf>
    <xf numFmtId="0" fontId="13" fillId="2" borderId="3"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1" fontId="13" fillId="2" borderId="44" xfId="0" applyNumberFormat="1" applyFont="1" applyFill="1" applyBorder="1" applyAlignment="1" applyProtection="1">
      <alignment vertical="center" wrapText="1"/>
    </xf>
    <xf numFmtId="0" fontId="17" fillId="0" borderId="0" xfId="0" applyFont="1" applyBorder="1" applyAlignment="1" applyProtection="1">
      <alignment vertical="center"/>
    </xf>
    <xf numFmtId="0" fontId="17" fillId="4" borderId="27" xfId="0" applyFont="1" applyFill="1" applyBorder="1" applyAlignment="1" applyProtection="1">
      <alignment horizontal="right" vertical="center" wrapText="1"/>
    </xf>
    <xf numFmtId="0" fontId="30" fillId="4" borderId="25" xfId="0" applyFont="1" applyFill="1" applyBorder="1" applyAlignment="1" applyProtection="1">
      <alignment vertical="center"/>
    </xf>
    <xf numFmtId="0" fontId="17" fillId="2" borderId="0" xfId="0" applyFont="1" applyFill="1" applyBorder="1" applyAlignment="1" applyProtection="1">
      <alignment vertical="center"/>
    </xf>
    <xf numFmtId="0" fontId="15" fillId="2" borderId="44" xfId="0" applyFont="1" applyFill="1" applyBorder="1" applyAlignment="1" applyProtection="1">
      <alignment vertical="center"/>
    </xf>
    <xf numFmtId="0" fontId="15" fillId="2" borderId="44" xfId="0" applyFont="1" applyFill="1" applyBorder="1" applyAlignment="1" applyProtection="1">
      <alignment horizontal="center" vertical="center"/>
    </xf>
    <xf numFmtId="2" fontId="15" fillId="0" borderId="44"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left" vertical="center"/>
    </xf>
    <xf numFmtId="0" fontId="35" fillId="2" borderId="0" xfId="0" applyFont="1" applyFill="1" applyBorder="1" applyAlignment="1" applyProtection="1">
      <alignment vertical="center" wrapText="1"/>
    </xf>
    <xf numFmtId="0" fontId="12" fillId="5" borderId="14" xfId="0" applyFont="1" applyFill="1" applyBorder="1" applyAlignment="1" applyProtection="1">
      <alignment vertical="center"/>
    </xf>
    <xf numFmtId="0" fontId="17" fillId="5" borderId="13" xfId="0" applyFont="1" applyFill="1" applyBorder="1" applyAlignment="1" applyProtection="1">
      <alignment vertical="center" wrapText="1"/>
    </xf>
    <xf numFmtId="0" fontId="12" fillId="5" borderId="15" xfId="0" applyFont="1" applyFill="1" applyBorder="1" applyAlignment="1" applyProtection="1">
      <alignment vertical="center"/>
    </xf>
    <xf numFmtId="0" fontId="15" fillId="5" borderId="16" xfId="0" applyFont="1" applyFill="1" applyBorder="1" applyAlignment="1" applyProtection="1">
      <alignment vertical="center"/>
    </xf>
    <xf numFmtId="0" fontId="15" fillId="5" borderId="16" xfId="0"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7" fillId="5" borderId="16" xfId="0" applyFont="1" applyFill="1" applyBorder="1" applyAlignment="1" applyProtection="1">
      <alignment vertical="center" wrapText="1"/>
    </xf>
    <xf numFmtId="0" fontId="17" fillId="5" borderId="17" xfId="0" applyFont="1" applyFill="1" applyBorder="1" applyAlignment="1" applyProtection="1">
      <alignment vertical="center" wrapText="1"/>
    </xf>
    <xf numFmtId="0" fontId="14" fillId="2" borderId="0" xfId="0" applyFont="1" applyFill="1" applyBorder="1" applyAlignment="1" applyProtection="1">
      <alignment horizontal="right" vertical="center" indent="1"/>
    </xf>
    <xf numFmtId="1" fontId="13" fillId="2" borderId="0" xfId="0" applyNumberFormat="1" applyFont="1" applyFill="1" applyBorder="1" applyAlignment="1" applyProtection="1">
      <alignment vertical="center" wrapText="1"/>
    </xf>
    <xf numFmtId="0" fontId="38" fillId="4" borderId="27" xfId="0" applyFont="1" applyFill="1" applyBorder="1" applyAlignment="1" applyProtection="1">
      <alignment vertical="center"/>
    </xf>
    <xf numFmtId="0" fontId="13" fillId="2" borderId="15" xfId="0" applyFont="1" applyFill="1" applyBorder="1" applyAlignment="1" applyProtection="1">
      <alignment horizontal="left" vertical="center"/>
    </xf>
    <xf numFmtId="0" fontId="29" fillId="2" borderId="16" xfId="0" applyFont="1" applyFill="1" applyBorder="1" applyAlignment="1" applyProtection="1">
      <alignment vertical="center" wrapText="1"/>
    </xf>
    <xf numFmtId="0" fontId="29" fillId="2" borderId="16"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xf>
    <xf numFmtId="0" fontId="17" fillId="2" borderId="0"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39" fillId="2" borderId="4" xfId="0" applyFont="1" applyFill="1" applyBorder="1" applyAlignment="1" applyProtection="1">
      <alignment vertical="center"/>
    </xf>
    <xf numFmtId="166" fontId="12" fillId="2" borderId="1" xfId="1" applyNumberFormat="1" applyFont="1" applyFill="1" applyBorder="1" applyAlignment="1" applyProtection="1">
      <alignment horizontal="center" vertical="center"/>
      <protection locked="0"/>
    </xf>
    <xf numFmtId="166" fontId="12" fillId="4" borderId="7" xfId="1" applyNumberFormat="1" applyFont="1" applyFill="1" applyBorder="1" applyAlignment="1" applyProtection="1">
      <alignment horizontal="center" vertical="center"/>
      <protection locked="0"/>
    </xf>
    <xf numFmtId="0" fontId="39" fillId="2" borderId="1" xfId="0" applyFont="1" applyFill="1" applyBorder="1" applyAlignment="1" applyProtection="1">
      <alignment vertical="center"/>
    </xf>
    <xf numFmtId="0" fontId="14" fillId="2" borderId="46" xfId="0" applyFont="1" applyFill="1" applyBorder="1" applyAlignment="1" applyProtection="1">
      <alignment vertical="center" wrapText="1"/>
    </xf>
    <xf numFmtId="0" fontId="13" fillId="2" borderId="5" xfId="0" applyFont="1" applyFill="1" applyBorder="1" applyAlignment="1" applyProtection="1">
      <alignment horizontal="center" vertical="center"/>
    </xf>
    <xf numFmtId="0" fontId="14" fillId="2" borderId="1" xfId="0" applyFont="1" applyFill="1" applyBorder="1" applyAlignment="1" applyProtection="1">
      <alignment vertical="center"/>
    </xf>
    <xf numFmtId="166" fontId="4" fillId="2" borderId="1" xfId="1" applyNumberFormat="1" applyFont="1" applyFill="1" applyBorder="1" applyAlignment="1" applyProtection="1">
      <alignment horizontal="center" vertical="center"/>
    </xf>
    <xf numFmtId="0" fontId="17" fillId="2" borderId="4"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4" fillId="2" borderId="1" xfId="0" applyFont="1" applyFill="1" applyBorder="1" applyAlignment="1" applyProtection="1">
      <alignment vertical="center"/>
    </xf>
    <xf numFmtId="166" fontId="12" fillId="2" borderId="1" xfId="1" applyNumberFormat="1" applyFont="1" applyFill="1" applyBorder="1" applyAlignment="1" applyProtection="1">
      <alignment horizontal="center" vertical="center"/>
    </xf>
    <xf numFmtId="165" fontId="0" fillId="2" borderId="0" xfId="0" applyNumberFormat="1" applyFill="1" applyBorder="1" applyAlignment="1" applyProtection="1">
      <alignment vertical="center"/>
      <protection locked="0"/>
    </xf>
    <xf numFmtId="168" fontId="4" fillId="2" borderId="1" xfId="1"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165" fontId="42" fillId="2" borderId="0" xfId="0" applyNumberFormat="1" applyFont="1" applyFill="1" applyBorder="1" applyAlignment="1" applyProtection="1">
      <alignment horizontal="right" vertical="center"/>
      <protection locked="0"/>
    </xf>
    <xf numFmtId="166" fontId="7" fillId="2" borderId="1" xfId="1" applyNumberFormat="1" applyFont="1" applyFill="1" applyBorder="1" applyAlignment="1" applyProtection="1">
      <alignment horizontal="center" vertical="center"/>
    </xf>
    <xf numFmtId="166" fontId="13" fillId="2" borderId="1" xfId="1" applyNumberFormat="1" applyFont="1" applyFill="1" applyBorder="1" applyAlignment="1" applyProtection="1">
      <alignment horizontal="center" vertical="center"/>
    </xf>
    <xf numFmtId="164" fontId="4" fillId="2" borderId="1" xfId="0" applyNumberFormat="1" applyFont="1" applyFill="1" applyBorder="1" applyAlignment="1" applyProtection="1">
      <alignment horizontal="center" vertical="center"/>
    </xf>
    <xf numFmtId="166" fontId="7" fillId="2" borderId="0" xfId="1"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wrapText="1" indent="1"/>
    </xf>
    <xf numFmtId="0" fontId="15" fillId="2" borderId="0" xfId="0" applyFont="1" applyFill="1" applyBorder="1" applyAlignment="1" applyProtection="1">
      <alignment horizontal="center" vertical="center"/>
    </xf>
    <xf numFmtId="0" fontId="17" fillId="2" borderId="53" xfId="0" applyFont="1" applyFill="1" applyBorder="1" applyAlignment="1" applyProtection="1">
      <alignment vertical="center" wrapText="1"/>
    </xf>
    <xf numFmtId="0" fontId="12" fillId="2" borderId="60" xfId="0" applyFont="1" applyFill="1" applyBorder="1" applyAlignment="1" applyProtection="1">
      <alignment vertical="center"/>
    </xf>
    <xf numFmtId="0" fontId="11" fillId="2" borderId="58" xfId="0" applyFont="1" applyFill="1" applyBorder="1" applyAlignment="1" applyProtection="1">
      <alignment vertical="center" wrapText="1"/>
    </xf>
    <xf numFmtId="0" fontId="12" fillId="2" borderId="59" xfId="0" applyFont="1" applyFill="1" applyBorder="1" applyAlignment="1" applyProtection="1">
      <alignment vertical="center"/>
    </xf>
    <xf numFmtId="0" fontId="12" fillId="2" borderId="63" xfId="0" applyFont="1" applyFill="1" applyBorder="1" applyAlignment="1" applyProtection="1">
      <alignment vertical="center"/>
    </xf>
    <xf numFmtId="0" fontId="45" fillId="2" borderId="59" xfId="0" applyFont="1" applyFill="1" applyBorder="1" applyAlignment="1" applyProtection="1">
      <alignment vertical="center"/>
    </xf>
    <xf numFmtId="0" fontId="45" fillId="2" borderId="62" xfId="0" applyFont="1" applyFill="1" applyBorder="1" applyAlignment="1" applyProtection="1">
      <alignment vertical="center"/>
      <protection locked="0"/>
    </xf>
    <xf numFmtId="0" fontId="13" fillId="5" borderId="1" xfId="0" applyFont="1" applyFill="1" applyBorder="1" applyAlignment="1" applyProtection="1">
      <alignment horizontal="left" vertical="center" wrapText="1"/>
    </xf>
    <xf numFmtId="0" fontId="12" fillId="2" borderId="64" xfId="0" applyFont="1" applyFill="1" applyBorder="1" applyAlignment="1" applyProtection="1">
      <alignment vertical="center"/>
    </xf>
    <xf numFmtId="0" fontId="12" fillId="2" borderId="27" xfId="0" applyFont="1" applyFill="1" applyBorder="1" applyAlignment="1" applyProtection="1">
      <alignment vertical="center"/>
    </xf>
    <xf numFmtId="0" fontId="45" fillId="2" borderId="27" xfId="0" applyFont="1" applyFill="1" applyBorder="1" applyAlignment="1" applyProtection="1">
      <alignment vertical="center"/>
    </xf>
    <xf numFmtId="0" fontId="45" fillId="2" borderId="65" xfId="0" applyFont="1" applyFill="1" applyBorder="1" applyAlignment="1" applyProtection="1">
      <alignment vertical="center"/>
      <protection locked="0"/>
    </xf>
    <xf numFmtId="0" fontId="12" fillId="2" borderId="66" xfId="0" applyFont="1" applyFill="1" applyBorder="1" applyAlignment="1" applyProtection="1">
      <alignment vertical="center"/>
    </xf>
    <xf numFmtId="0" fontId="17" fillId="2" borderId="69" xfId="0" applyFont="1" applyFill="1" applyBorder="1" applyAlignment="1" applyProtection="1">
      <alignment vertical="center" wrapText="1"/>
    </xf>
    <xf numFmtId="0" fontId="14" fillId="2" borderId="0" xfId="0" applyFont="1" applyFill="1" applyBorder="1" applyAlignment="1" applyProtection="1">
      <alignment horizontal="left" vertical="center" wrapText="1" indent="1"/>
    </xf>
    <xf numFmtId="0" fontId="45" fillId="2" borderId="0" xfId="0" applyFont="1" applyFill="1" applyBorder="1" applyAlignment="1" applyProtection="1">
      <alignment horizontal="center" vertical="center"/>
    </xf>
    <xf numFmtId="0" fontId="17" fillId="2" borderId="0" xfId="0" applyFont="1" applyFill="1" applyBorder="1" applyAlignment="1" applyProtection="1">
      <alignment vertical="center" wrapText="1"/>
    </xf>
    <xf numFmtId="0" fontId="12" fillId="2" borderId="5" xfId="0" applyFont="1" applyFill="1" applyBorder="1" applyAlignment="1" applyProtection="1">
      <alignment horizontal="center" vertical="center" wrapText="1"/>
    </xf>
    <xf numFmtId="0" fontId="13" fillId="2" borderId="70" xfId="0" applyFont="1" applyFill="1" applyBorder="1" applyAlignment="1" applyProtection="1">
      <alignment horizontal="left" vertical="center"/>
    </xf>
    <xf numFmtId="166" fontId="14" fillId="2" borderId="0" xfId="1" applyNumberFormat="1" applyFont="1" applyFill="1" applyBorder="1" applyAlignment="1" applyProtection="1">
      <alignment horizontal="center" vertical="center" wrapText="1"/>
    </xf>
    <xf numFmtId="0" fontId="45" fillId="2" borderId="43" xfId="0" applyFont="1" applyFill="1" applyBorder="1" applyAlignment="1" applyProtection="1">
      <alignment horizontal="center" vertical="center" wrapText="1"/>
    </xf>
    <xf numFmtId="166" fontId="45" fillId="2" borderId="43" xfId="1" applyNumberFormat="1" applyFont="1" applyFill="1" applyBorder="1" applyAlignment="1" applyProtection="1">
      <alignment horizontal="center" vertical="center"/>
    </xf>
    <xf numFmtId="0" fontId="45" fillId="2" borderId="43" xfId="0" applyFont="1" applyFill="1" applyBorder="1" applyAlignment="1" applyProtection="1">
      <alignment horizontal="center" vertical="center"/>
    </xf>
    <xf numFmtId="0" fontId="0" fillId="2" borderId="0" xfId="0" applyFill="1" applyBorder="1" applyAlignment="1" applyProtection="1">
      <alignment vertical="center" wrapText="1"/>
    </xf>
    <xf numFmtId="0" fontId="0" fillId="2" borderId="0" xfId="0" applyFill="1" applyBorder="1" applyAlignment="1" applyProtection="1">
      <alignment vertical="center" wrapText="1"/>
      <protection locked="0"/>
    </xf>
    <xf numFmtId="0" fontId="17" fillId="0" borderId="27" xfId="0" applyFont="1" applyFill="1" applyBorder="1" applyAlignment="1" applyProtection="1">
      <alignment vertical="center" wrapText="1"/>
    </xf>
    <xf numFmtId="0" fontId="12" fillId="0" borderId="28" xfId="0" applyFont="1" applyFill="1" applyBorder="1" applyAlignment="1" applyProtection="1">
      <alignment vertical="center"/>
    </xf>
    <xf numFmtId="0" fontId="0" fillId="2" borderId="0" xfId="0" applyFill="1" applyBorder="1" applyAlignment="1">
      <alignment horizontal="center" vertical="center" wrapText="1"/>
    </xf>
    <xf numFmtId="0" fontId="51" fillId="6" borderId="0" xfId="0" applyFont="1" applyFill="1" applyBorder="1" applyAlignment="1" applyProtection="1">
      <alignment vertical="center" wrapText="1"/>
    </xf>
    <xf numFmtId="0" fontId="56" fillId="2" borderId="0" xfId="0" applyFont="1" applyFill="1" applyBorder="1" applyAlignment="1">
      <alignment vertical="center" wrapText="1"/>
    </xf>
    <xf numFmtId="0" fontId="12" fillId="2" borderId="0" xfId="0" applyFont="1" applyFill="1" applyAlignment="1" applyProtection="1">
      <alignment vertical="center"/>
    </xf>
    <xf numFmtId="0" fontId="18" fillId="2" borderId="0" xfId="0" applyFont="1" applyFill="1" applyBorder="1" applyAlignment="1" applyProtection="1">
      <alignment horizontal="center" vertical="center"/>
    </xf>
    <xf numFmtId="0" fontId="51" fillId="2" borderId="0" xfId="0" applyFont="1" applyFill="1" applyBorder="1" applyAlignment="1" applyProtection="1">
      <alignment horizontal="center" vertical="center" wrapText="1"/>
    </xf>
    <xf numFmtId="166" fontId="51" fillId="6" borderId="0" xfId="1" applyNumberFormat="1" applyFont="1" applyFill="1" applyBorder="1" applyAlignment="1" applyProtection="1">
      <alignment horizontal="center" vertical="center" wrapText="1"/>
    </xf>
    <xf numFmtId="0" fontId="51" fillId="6" borderId="0" xfId="0" applyFont="1" applyFill="1" applyBorder="1" applyAlignment="1" applyProtection="1">
      <alignment horizontal="center" vertical="center"/>
    </xf>
    <xf numFmtId="0" fontId="13" fillId="0" borderId="26" xfId="0" applyFont="1" applyFill="1" applyBorder="1" applyAlignment="1" applyProtection="1">
      <alignment horizontal="left" vertical="center"/>
    </xf>
    <xf numFmtId="0" fontId="13" fillId="0" borderId="27" xfId="0" applyFont="1" applyFill="1" applyBorder="1" applyAlignment="1" applyProtection="1">
      <alignment horizontal="left" vertical="center"/>
    </xf>
    <xf numFmtId="0" fontId="29" fillId="0" borderId="27" xfId="0" applyFont="1" applyFill="1" applyBorder="1" applyAlignment="1" applyProtection="1">
      <alignment vertical="center" wrapText="1"/>
    </xf>
    <xf numFmtId="0" fontId="29" fillId="0" borderId="27" xfId="0" applyFont="1" applyFill="1" applyBorder="1" applyAlignment="1" applyProtection="1">
      <alignment horizontal="center" vertical="center" wrapText="1"/>
    </xf>
    <xf numFmtId="0" fontId="13" fillId="0" borderId="33" xfId="0" applyFont="1" applyFill="1" applyBorder="1" applyAlignment="1" applyProtection="1">
      <alignment horizontal="left" vertical="center"/>
    </xf>
    <xf numFmtId="0" fontId="13" fillId="0" borderId="71" xfId="0" applyFont="1" applyFill="1" applyBorder="1" applyAlignment="1" applyProtection="1">
      <alignment horizontal="left" vertical="center"/>
    </xf>
    <xf numFmtId="0" fontId="24" fillId="0" borderId="71" xfId="0" applyFont="1" applyFill="1" applyBorder="1" applyAlignment="1" applyProtection="1">
      <alignment vertical="center" wrapText="1"/>
    </xf>
    <xf numFmtId="1" fontId="24" fillId="0" borderId="71" xfId="0" applyNumberFormat="1" applyFont="1" applyFill="1" applyBorder="1" applyAlignment="1" applyProtection="1">
      <alignment horizontal="center" vertical="center"/>
    </xf>
    <xf numFmtId="0" fontId="24" fillId="0" borderId="71" xfId="0" applyFont="1" applyFill="1" applyBorder="1" applyAlignment="1" applyProtection="1">
      <alignment horizontal="center" vertical="center"/>
    </xf>
    <xf numFmtId="0" fontId="17" fillId="0" borderId="71" xfId="0" applyFont="1" applyFill="1" applyBorder="1" applyAlignment="1" applyProtection="1">
      <alignment horizontal="left" vertical="center" wrapText="1" indent="1"/>
    </xf>
    <xf numFmtId="0" fontId="17" fillId="0" borderId="71" xfId="0" applyFont="1" applyFill="1" applyBorder="1" applyAlignment="1" applyProtection="1">
      <alignment vertical="center" wrapText="1"/>
    </xf>
    <xf numFmtId="0" fontId="12" fillId="0" borderId="34" xfId="0" applyFont="1" applyFill="1" applyBorder="1" applyAlignment="1" applyProtection="1">
      <alignment vertical="center"/>
    </xf>
    <xf numFmtId="0" fontId="13" fillId="5" borderId="3" xfId="0" applyFont="1" applyFill="1" applyBorder="1" applyAlignment="1" applyProtection="1">
      <alignment horizontal="left" vertical="center"/>
    </xf>
    <xf numFmtId="0" fontId="2" fillId="2" borderId="1" xfId="0" applyFont="1" applyFill="1" applyBorder="1" applyAlignment="1" applyProtection="1">
      <alignment vertical="center" wrapText="1"/>
    </xf>
    <xf numFmtId="0" fontId="0" fillId="2" borderId="1" xfId="0" applyFill="1" applyBorder="1" applyAlignment="1" applyProtection="1">
      <alignment vertical="center" wrapText="1"/>
    </xf>
    <xf numFmtId="0" fontId="17" fillId="2" borderId="0" xfId="0" applyFont="1" applyFill="1" applyBorder="1" applyAlignment="1" applyProtection="1">
      <alignment vertical="center" wrapText="1"/>
    </xf>
    <xf numFmtId="0" fontId="13" fillId="5" borderId="5" xfId="0" applyFont="1" applyFill="1" applyBorder="1" applyAlignment="1" applyProtection="1">
      <alignment horizontal="left" vertical="center" wrapText="1"/>
    </xf>
    <xf numFmtId="0" fontId="32" fillId="4" borderId="45" xfId="0" applyFont="1" applyFill="1" applyBorder="1" applyAlignment="1" applyProtection="1">
      <alignment horizontal="left" vertical="top" wrapText="1" indent="1"/>
      <protection locked="0"/>
    </xf>
    <xf numFmtId="0" fontId="32" fillId="4" borderId="4" xfId="0" applyFont="1" applyFill="1" applyBorder="1" applyAlignment="1" applyProtection="1">
      <alignment horizontal="left" vertical="top" wrapText="1" indent="1"/>
      <protection locked="0"/>
    </xf>
    <xf numFmtId="0" fontId="32" fillId="4" borderId="46" xfId="0" applyFont="1" applyFill="1" applyBorder="1" applyAlignment="1" applyProtection="1">
      <alignment horizontal="left" vertical="top" wrapText="1" indent="1"/>
      <protection locked="0"/>
    </xf>
    <xf numFmtId="0" fontId="15" fillId="6"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xf>
    <xf numFmtId="0" fontId="18" fillId="8" borderId="72" xfId="0" applyFont="1" applyFill="1" applyBorder="1" applyAlignment="1" applyProtection="1">
      <alignment horizontal="center" vertical="center" wrapText="1"/>
    </xf>
    <xf numFmtId="1" fontId="15" fillId="8" borderId="72" xfId="0" applyNumberFormat="1" applyFont="1" applyFill="1" applyBorder="1" applyAlignment="1" applyProtection="1">
      <alignment horizontal="center" vertical="center" wrapText="1"/>
    </xf>
    <xf numFmtId="0" fontId="18" fillId="9" borderId="72" xfId="0" applyFont="1" applyFill="1" applyBorder="1" applyAlignment="1" applyProtection="1">
      <alignment vertical="center" wrapText="1"/>
    </xf>
    <xf numFmtId="1" fontId="15" fillId="9" borderId="72" xfId="0" applyNumberFormat="1" applyFont="1" applyFill="1" applyBorder="1" applyAlignment="1" applyProtection="1">
      <alignment horizontal="center" vertical="center"/>
      <protection locked="0"/>
    </xf>
    <xf numFmtId="0" fontId="15" fillId="9" borderId="72" xfId="0" applyFont="1" applyFill="1" applyBorder="1" applyAlignment="1" applyProtection="1">
      <alignment horizontal="center" vertical="center"/>
    </xf>
    <xf numFmtId="0" fontId="18" fillId="10" borderId="72" xfId="0" applyFont="1" applyFill="1" applyBorder="1" applyAlignment="1" applyProtection="1">
      <alignment vertical="center" wrapText="1"/>
    </xf>
    <xf numFmtId="0" fontId="17" fillId="10" borderId="72" xfId="0" applyFont="1" applyFill="1" applyBorder="1" applyAlignment="1" applyProtection="1">
      <alignment horizontal="left" vertical="center" wrapText="1" indent="1"/>
      <protection locked="0"/>
    </xf>
    <xf numFmtId="0" fontId="53" fillId="11" borderId="0" xfId="0" applyFont="1" applyFill="1" applyBorder="1" applyAlignment="1" applyProtection="1">
      <alignment horizontal="left" vertical="center" indent="1"/>
    </xf>
    <xf numFmtId="0" fontId="54" fillId="11" borderId="0" xfId="0" applyFont="1" applyFill="1" applyBorder="1" applyAlignment="1" applyProtection="1">
      <alignment horizontal="center" vertical="center"/>
      <protection locked="0"/>
    </xf>
    <xf numFmtId="0" fontId="51" fillId="11" borderId="0" xfId="0" applyFont="1" applyFill="1" applyBorder="1" applyAlignment="1" applyProtection="1">
      <alignment horizontal="center" vertical="center"/>
    </xf>
    <xf numFmtId="0" fontId="51" fillId="11" borderId="0" xfId="0" applyFont="1" applyFill="1" applyBorder="1" applyAlignment="1" applyProtection="1">
      <alignment horizontal="left" vertical="center" indent="3"/>
      <protection locked="0"/>
    </xf>
    <xf numFmtId="0" fontId="52" fillId="11" borderId="0" xfId="0" applyFont="1" applyFill="1" applyBorder="1" applyAlignment="1" applyProtection="1">
      <alignment horizontal="right" vertical="center" indent="3"/>
    </xf>
    <xf numFmtId="0" fontId="52" fillId="11" borderId="0" xfId="0" applyFont="1" applyFill="1" applyBorder="1" applyAlignment="1" applyProtection="1">
      <alignment horizontal="left" vertical="center"/>
    </xf>
    <xf numFmtId="0" fontId="51" fillId="11" borderId="0" xfId="0" applyFont="1" applyFill="1" applyBorder="1" applyAlignment="1" applyProtection="1">
      <alignment horizontal="left" vertical="center"/>
    </xf>
    <xf numFmtId="0" fontId="53" fillId="11" borderId="24" xfId="0" applyFont="1" applyFill="1" applyBorder="1" applyAlignment="1" applyProtection="1">
      <alignment horizontal="center" vertical="center"/>
    </xf>
    <xf numFmtId="0" fontId="51" fillId="11" borderId="25" xfId="0" applyFont="1" applyFill="1" applyBorder="1" applyAlignment="1" applyProtection="1">
      <alignment horizontal="center" vertical="center"/>
    </xf>
    <xf numFmtId="0" fontId="0" fillId="0" borderId="72" xfId="0" applyBorder="1" applyAlignment="1" applyProtection="1">
      <alignment vertical="center" wrapText="1"/>
    </xf>
    <xf numFmtId="166" fontId="0" fillId="0" borderId="72" xfId="0" applyNumberFormat="1" applyBorder="1" applyAlignment="1" applyProtection="1">
      <alignment vertical="center" wrapText="1"/>
    </xf>
    <xf numFmtId="166" fontId="0" fillId="0" borderId="0" xfId="0" applyNumberFormat="1" applyAlignment="1" applyProtection="1">
      <alignment vertical="center" wrapText="1"/>
    </xf>
    <xf numFmtId="0" fontId="17" fillId="5" borderId="3" xfId="0" applyFont="1" applyFill="1" applyBorder="1" applyAlignment="1" applyProtection="1">
      <alignment vertical="center" wrapText="1"/>
    </xf>
    <xf numFmtId="0" fontId="36" fillId="0" borderId="21" xfId="0" applyFont="1" applyBorder="1" applyAlignment="1" applyProtection="1">
      <alignment horizontal="center" vertical="center" wrapText="1"/>
    </xf>
    <xf numFmtId="0" fontId="37" fillId="0" borderId="22" xfId="0" applyFont="1" applyBorder="1" applyAlignment="1">
      <alignment vertical="center" wrapText="1"/>
    </xf>
    <xf numFmtId="0" fontId="37" fillId="0" borderId="23" xfId="0" applyFont="1" applyBorder="1" applyAlignment="1">
      <alignment vertical="center" wrapText="1"/>
    </xf>
    <xf numFmtId="166" fontId="13" fillId="3" borderId="8" xfId="1" applyNumberFormat="1" applyFont="1" applyFill="1" applyBorder="1" applyAlignment="1" applyProtection="1">
      <alignment vertical="center"/>
    </xf>
    <xf numFmtId="166" fontId="18" fillId="0" borderId="2" xfId="1" applyNumberFormat="1" applyFont="1" applyBorder="1" applyAlignment="1" applyProtection="1">
      <alignment vertical="center"/>
    </xf>
    <xf numFmtId="0" fontId="13" fillId="2" borderId="5" xfId="0" applyFont="1" applyFill="1" applyBorder="1" applyAlignment="1" applyProtection="1">
      <alignment horizontal="left" vertical="center" wrapText="1"/>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0" fontId="15" fillId="2" borderId="27" xfId="0" applyFont="1" applyFill="1" applyBorder="1" applyAlignment="1" applyProtection="1">
      <alignment horizontal="center" vertical="center"/>
    </xf>
    <xf numFmtId="0" fontId="0" fillId="2" borderId="27" xfId="0" applyFill="1" applyBorder="1" applyAlignment="1" applyProtection="1">
      <alignment horizontal="center" vertical="center"/>
    </xf>
    <xf numFmtId="0" fontId="15" fillId="2" borderId="0" xfId="0" applyFont="1" applyFill="1" applyBorder="1" applyAlignment="1" applyProtection="1">
      <alignment vertical="center" wrapText="1"/>
    </xf>
    <xf numFmtId="0" fontId="0" fillId="0" borderId="0" xfId="0" applyBorder="1" applyAlignment="1" applyProtection="1">
      <alignment vertical="center" wrapText="1"/>
    </xf>
    <xf numFmtId="0" fontId="53" fillId="11" borderId="21" xfId="0" applyFont="1" applyFill="1" applyBorder="1" applyAlignment="1" applyProtection="1">
      <alignment horizontal="center" vertical="center" wrapText="1"/>
    </xf>
    <xf numFmtId="0" fontId="61" fillId="11" borderId="22" xfId="0" applyFont="1" applyFill="1" applyBorder="1" applyAlignment="1" applyProtection="1">
      <alignment horizontal="center" vertical="center" wrapText="1"/>
    </xf>
    <xf numFmtId="0" fontId="61" fillId="11" borderId="23" xfId="0" applyFont="1" applyFill="1" applyBorder="1" applyAlignment="1" applyProtection="1">
      <alignment horizontal="center" vertical="center" wrapText="1"/>
    </xf>
    <xf numFmtId="0" fontId="11" fillId="2" borderId="10" xfId="0" applyFont="1" applyFill="1" applyBorder="1" applyAlignment="1" applyProtection="1">
      <alignment vertical="center" wrapText="1"/>
    </xf>
    <xf numFmtId="0" fontId="0" fillId="2" borderId="10" xfId="0" applyFill="1" applyBorder="1" applyAlignment="1" applyProtection="1">
      <alignment vertical="center" wrapText="1"/>
    </xf>
    <xf numFmtId="0" fontId="17" fillId="2" borderId="0" xfId="0" applyFont="1" applyFill="1" applyBorder="1" applyAlignment="1" applyProtection="1">
      <alignment vertical="center" wrapText="1"/>
    </xf>
    <xf numFmtId="0" fontId="0" fillId="0" borderId="0" xfId="0" applyBorder="1" applyAlignment="1">
      <alignment vertical="center" wrapText="1"/>
    </xf>
    <xf numFmtId="0" fontId="18" fillId="0" borderId="29" xfId="0" applyFont="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11" fillId="2" borderId="54" xfId="0" applyFont="1" applyFill="1" applyBorder="1" applyAlignment="1" applyProtection="1">
      <alignment vertical="center"/>
    </xf>
    <xf numFmtId="0" fontId="0" fillId="0" borderId="55" xfId="0" applyBorder="1" applyAlignment="1">
      <alignment vertical="center"/>
    </xf>
    <xf numFmtId="0" fontId="0" fillId="0" borderId="56" xfId="0" applyBorder="1" applyAlignment="1">
      <alignment vertical="center"/>
    </xf>
    <xf numFmtId="0" fontId="32" fillId="4" borderId="43" xfId="0" applyFont="1" applyFill="1" applyBorder="1" applyAlignment="1" applyProtection="1">
      <alignment horizontal="left" vertical="top" wrapText="1" indent="1"/>
      <protection locked="0"/>
    </xf>
    <xf numFmtId="0" fontId="32" fillId="4" borderId="0" xfId="0" applyFont="1" applyFill="1" applyBorder="1" applyAlignment="1" applyProtection="1">
      <alignment horizontal="left" vertical="top" wrapText="1" indent="1"/>
      <protection locked="0"/>
    </xf>
    <xf numFmtId="0" fontId="32" fillId="4" borderId="47" xfId="0" applyFont="1" applyFill="1" applyBorder="1" applyAlignment="1" applyProtection="1">
      <alignment horizontal="left" vertical="top" wrapText="1" indent="1"/>
      <protection locked="0"/>
    </xf>
    <xf numFmtId="0" fontId="32" fillId="4" borderId="45" xfId="0" applyFont="1" applyFill="1" applyBorder="1" applyAlignment="1" applyProtection="1">
      <alignment horizontal="left" vertical="top" wrapText="1" indent="1"/>
      <protection locked="0"/>
    </xf>
    <xf numFmtId="0" fontId="32" fillId="4" borderId="4" xfId="0" applyFont="1" applyFill="1" applyBorder="1" applyAlignment="1" applyProtection="1">
      <alignment horizontal="left" vertical="top" wrapText="1" indent="1"/>
      <protection locked="0"/>
    </xf>
    <xf numFmtId="0" fontId="32" fillId="4" borderId="46" xfId="0" applyFont="1" applyFill="1" applyBorder="1" applyAlignment="1" applyProtection="1">
      <alignment horizontal="left" vertical="top" wrapText="1" indent="1"/>
      <protection locked="0"/>
    </xf>
    <xf numFmtId="0" fontId="18" fillId="0" borderId="29" xfId="0" applyFont="1"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0" borderId="29" xfId="0" applyBorder="1" applyAlignment="1" applyProtection="1">
      <alignment vertical="center"/>
      <protection locked="0"/>
    </xf>
    <xf numFmtId="165" fontId="0" fillId="0" borderId="29" xfId="0" applyNumberFormat="1" applyBorder="1" applyAlignment="1" applyProtection="1">
      <alignment horizontal="left" vertical="center"/>
      <protection locked="0"/>
    </xf>
    <xf numFmtId="165" fontId="0" fillId="0" borderId="31" xfId="0" applyNumberFormat="1" applyBorder="1" applyAlignment="1" applyProtection="1">
      <alignment horizontal="left" vertical="center"/>
      <protection locked="0"/>
    </xf>
    <xf numFmtId="0" fontId="14" fillId="2" borderId="0" xfId="0" applyFont="1" applyFill="1" applyBorder="1" applyAlignment="1" applyProtection="1">
      <alignment horizontal="left" vertical="center" wrapText="1" indent="1"/>
    </xf>
    <xf numFmtId="0" fontId="11" fillId="5" borderId="0" xfId="0" applyFont="1" applyFill="1" applyBorder="1" applyAlignment="1" applyProtection="1">
      <alignment vertical="center" wrapText="1"/>
    </xf>
    <xf numFmtId="0" fontId="0" fillId="5" borderId="0" xfId="0" applyFill="1" applyBorder="1" applyAlignment="1" applyProtection="1">
      <alignment vertical="center" wrapText="1"/>
    </xf>
    <xf numFmtId="0" fontId="0" fillId="0" borderId="11" xfId="0" applyBorder="1" applyAlignment="1">
      <alignment vertical="center" wrapText="1"/>
    </xf>
    <xf numFmtId="0" fontId="15" fillId="7" borderId="72" xfId="0" applyFont="1" applyFill="1" applyBorder="1" applyAlignment="1" applyProtection="1">
      <alignment horizontal="center" vertical="center"/>
    </xf>
    <xf numFmtId="0" fontId="18" fillId="7" borderId="72" xfId="0" applyFont="1" applyFill="1" applyBorder="1" applyAlignment="1" applyProtection="1">
      <alignment horizontal="center" vertical="center"/>
    </xf>
    <xf numFmtId="0" fontId="51" fillId="6" borderId="0" xfId="0" applyFont="1" applyFill="1" applyBorder="1" applyAlignment="1" applyProtection="1">
      <alignment horizontal="center" vertical="center" wrapText="1"/>
    </xf>
    <xf numFmtId="0" fontId="0" fillId="0" borderId="51" xfId="0" applyFill="1" applyBorder="1" applyAlignment="1" applyProtection="1">
      <alignment vertical="center" wrapText="1"/>
      <protection locked="0"/>
    </xf>
    <xf numFmtId="0" fontId="0" fillId="0" borderId="52"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33" fillId="4" borderId="5" xfId="0" applyFont="1" applyFill="1" applyBorder="1" applyAlignment="1" applyProtection="1">
      <alignment horizontal="left" vertical="center"/>
    </xf>
    <xf numFmtId="0" fontId="34" fillId="4" borderId="5" xfId="0" applyFont="1" applyFill="1" applyBorder="1" applyAlignment="1">
      <alignment vertical="center"/>
    </xf>
    <xf numFmtId="0" fontId="60" fillId="5" borderId="45" xfId="0" applyFont="1" applyFill="1" applyBorder="1" applyAlignment="1" applyProtection="1">
      <alignment horizontal="center" vertical="center" wrapText="1"/>
    </xf>
    <xf numFmtId="0" fontId="60" fillId="5" borderId="46" xfId="0" applyFont="1" applyFill="1" applyBorder="1" applyAlignment="1">
      <alignment horizontal="center" vertical="center" wrapText="1"/>
    </xf>
    <xf numFmtId="0" fontId="31" fillId="5" borderId="8" xfId="0" applyFont="1" applyFill="1" applyBorder="1" applyAlignment="1" applyProtection="1">
      <alignment horizontal="center" vertical="center"/>
    </xf>
    <xf numFmtId="0" fontId="18" fillId="5" borderId="2" xfId="0" applyFont="1" applyFill="1" applyBorder="1" applyAlignment="1" applyProtection="1">
      <alignment vertical="center"/>
    </xf>
    <xf numFmtId="0" fontId="31" fillId="5" borderId="8" xfId="0" applyFont="1" applyFill="1" applyBorder="1" applyAlignment="1" applyProtection="1">
      <alignment horizontal="center" vertical="center" wrapText="1"/>
    </xf>
    <xf numFmtId="0" fontId="18" fillId="5" borderId="2" xfId="0" applyFont="1" applyFill="1" applyBorder="1" applyAlignment="1" applyProtection="1">
      <alignment vertical="center" wrapText="1"/>
    </xf>
    <xf numFmtId="0" fontId="18" fillId="5" borderId="50" xfId="0" applyFont="1" applyFill="1" applyBorder="1" applyAlignment="1" applyProtection="1">
      <alignment horizontal="center" vertical="center"/>
    </xf>
    <xf numFmtId="0" fontId="0" fillId="0" borderId="48"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2" fillId="5" borderId="8" xfId="0" applyFont="1" applyFill="1" applyBorder="1" applyAlignment="1" applyProtection="1">
      <alignment vertical="center" wrapText="1"/>
    </xf>
    <xf numFmtId="0" fontId="12" fillId="0" borderId="2" xfId="0" applyFont="1" applyBorder="1" applyAlignment="1">
      <alignment vertical="center" wrapText="1"/>
    </xf>
    <xf numFmtId="0" fontId="0" fillId="0" borderId="8"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11" fillId="2" borderId="67" xfId="0" applyFont="1" applyFill="1" applyBorder="1" applyAlignment="1" applyProtection="1">
      <alignment vertical="center"/>
    </xf>
    <xf numFmtId="0" fontId="0" fillId="0" borderId="32" xfId="0" applyBorder="1" applyAlignment="1">
      <alignment vertical="center"/>
    </xf>
    <xf numFmtId="0" fontId="0" fillId="0" borderId="68" xfId="0" applyBorder="1" applyAlignment="1">
      <alignment vertical="center"/>
    </xf>
    <xf numFmtId="0" fontId="14" fillId="2" borderId="43" xfId="0" applyFont="1" applyFill="1" applyBorder="1" applyAlignment="1" applyProtection="1">
      <alignment horizontal="left" vertical="center" wrapText="1"/>
    </xf>
    <xf numFmtId="0" fontId="0" fillId="0" borderId="0" xfId="0" applyAlignment="1">
      <alignment vertical="center"/>
    </xf>
    <xf numFmtId="0" fontId="0" fillId="0" borderId="2" xfId="0" applyFont="1" applyBorder="1" applyAlignment="1" applyProtection="1">
      <alignment horizontal="left" vertical="center" wrapText="1"/>
      <protection locked="0"/>
    </xf>
    <xf numFmtId="0" fontId="11" fillId="2" borderId="41" xfId="0" applyFont="1" applyFill="1" applyBorder="1" applyAlignment="1" applyProtection="1">
      <alignment vertical="center" wrapText="1"/>
    </xf>
    <xf numFmtId="0" fontId="0" fillId="0" borderId="41" xfId="0" applyBorder="1" applyAlignment="1">
      <alignment vertical="center" wrapText="1"/>
    </xf>
    <xf numFmtId="0" fontId="11" fillId="2" borderId="57" xfId="0" applyFont="1" applyFill="1" applyBorder="1" applyAlignment="1" applyProtection="1">
      <alignment vertical="center" wrapText="1"/>
    </xf>
    <xf numFmtId="0" fontId="0" fillId="0" borderId="61" xfId="0" applyBorder="1" applyAlignment="1">
      <alignment vertical="center" wrapText="1"/>
    </xf>
    <xf numFmtId="0" fontId="0" fillId="0" borderId="2" xfId="0" applyBorder="1" applyAlignment="1">
      <alignment vertical="center"/>
    </xf>
    <xf numFmtId="0" fontId="13" fillId="5" borderId="5" xfId="0" applyFont="1" applyFill="1" applyBorder="1" applyAlignment="1" applyProtection="1">
      <alignment horizontal="center" vertical="center" wrapText="1"/>
    </xf>
    <xf numFmtId="0" fontId="18" fillId="5" borderId="7" xfId="0" applyFont="1" applyFill="1" applyBorder="1" applyAlignment="1">
      <alignment horizontal="center" vertical="center" wrapText="1"/>
    </xf>
    <xf numFmtId="0" fontId="18" fillId="5" borderId="50" xfId="0" applyFont="1" applyFill="1" applyBorder="1" applyAlignment="1" applyProtection="1">
      <alignment horizontal="center" vertical="center" wrapText="1"/>
    </xf>
    <xf numFmtId="0" fontId="18" fillId="5" borderId="48" xfId="0" applyFont="1" applyFill="1" applyBorder="1" applyAlignment="1">
      <alignment horizontal="center" vertical="center" wrapText="1"/>
    </xf>
    <xf numFmtId="0" fontId="14" fillId="2" borderId="14" xfId="0" applyFont="1" applyFill="1" applyBorder="1" applyAlignment="1" applyProtection="1">
      <alignment horizontal="left" vertical="center" wrapText="1"/>
    </xf>
    <xf numFmtId="0" fontId="14" fillId="2" borderId="57"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59" fillId="6" borderId="0" xfId="0" applyFont="1" applyFill="1" applyBorder="1" applyAlignment="1" applyProtection="1">
      <alignment horizontal="left" vertical="center" wrapText="1"/>
    </xf>
    <xf numFmtId="0" fontId="59" fillId="6" borderId="0" xfId="0" applyFont="1" applyFill="1" applyBorder="1" applyAlignment="1">
      <alignment vertical="center"/>
    </xf>
    <xf numFmtId="0" fontId="61" fillId="6" borderId="0" xfId="0" applyFont="1" applyFill="1" applyBorder="1" applyAlignment="1" applyProtection="1">
      <alignment vertical="center" wrapText="1"/>
    </xf>
    <xf numFmtId="0" fontId="61" fillId="6" borderId="0" xfId="0" applyFont="1" applyFill="1" applyBorder="1" applyAlignment="1">
      <alignment vertical="center" wrapText="1"/>
    </xf>
    <xf numFmtId="0" fontId="51" fillId="11" borderId="0" xfId="0" applyFont="1" applyFill="1" applyBorder="1" applyAlignment="1" applyProtection="1">
      <alignment horizontal="center" vertical="center" wrapText="1"/>
    </xf>
    <xf numFmtId="0" fontId="0" fillId="11" borderId="0" xfId="0" applyFill="1" applyBorder="1" applyAlignment="1">
      <alignment horizontal="center" vertical="center" wrapText="1"/>
    </xf>
    <xf numFmtId="43" fontId="14" fillId="2" borderId="43" xfId="1" applyFont="1" applyFill="1" applyBorder="1" applyAlignment="1" applyProtection="1">
      <alignment horizontal="left" vertical="center" wrapText="1"/>
    </xf>
    <xf numFmtId="2" fontId="14" fillId="2" borderId="57" xfId="0" applyNumberFormat="1" applyFont="1" applyFill="1" applyBorder="1" applyAlignment="1" applyProtection="1">
      <alignment horizontal="left" vertical="center"/>
    </xf>
    <xf numFmtId="0" fontId="20"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57" fillId="2" borderId="8" xfId="0" applyFont="1" applyFill="1" applyBorder="1" applyAlignment="1" applyProtection="1">
      <alignment horizontal="center" vertical="center" wrapText="1"/>
    </xf>
    <xf numFmtId="0" fontId="0" fillId="0" borderId="20" xfId="0" applyBorder="1" applyAlignment="1">
      <alignment vertical="center" wrapText="1"/>
    </xf>
    <xf numFmtId="0" fontId="0" fillId="0" borderId="2" xfId="0" applyBorder="1" applyAlignment="1">
      <alignment vertical="center" wrapText="1"/>
    </xf>
    <xf numFmtId="0" fontId="62" fillId="6" borderId="0" xfId="0" applyFont="1" applyFill="1" applyBorder="1" applyAlignment="1" applyProtection="1">
      <alignment horizontal="center" vertical="center" wrapText="1"/>
    </xf>
    <xf numFmtId="0" fontId="62" fillId="0" borderId="0" xfId="0" applyFont="1" applyAlignment="1">
      <alignment horizontal="center" vertical="center"/>
    </xf>
    <xf numFmtId="1" fontId="15" fillId="7" borderId="72" xfId="0" applyNumberFormat="1" applyFont="1" applyFill="1" applyBorder="1" applyAlignment="1" applyProtection="1">
      <alignment horizontal="center" vertical="center" wrapText="1"/>
    </xf>
    <xf numFmtId="0" fontId="0" fillId="7" borderId="72" xfId="0" applyFill="1" applyBorder="1" applyAlignment="1">
      <alignment horizontal="center" vertical="center"/>
    </xf>
    <xf numFmtId="0" fontId="15" fillId="2" borderId="32" xfId="0" applyFont="1" applyFill="1" applyBorder="1" applyAlignment="1" applyProtection="1">
      <alignment horizontal="center" vertical="center"/>
    </xf>
    <xf numFmtId="0" fontId="0" fillId="2" borderId="32" xfId="0" applyFill="1" applyBorder="1" applyAlignment="1" applyProtection="1">
      <alignment horizontal="center" vertical="center"/>
    </xf>
  </cellXfs>
  <cellStyles count="2">
    <cellStyle name="Milliers" xfId="1" builtinId="3"/>
    <cellStyle name="Normal" xfId="0" builtinId="0"/>
  </cellStyles>
  <dxfs count="59">
    <dxf>
      <font>
        <color rgb="FF9C6500"/>
      </font>
      <fill>
        <patternFill>
          <bgColor rgb="FFFFEB9C"/>
        </patternFill>
      </fill>
    </dxf>
    <dxf>
      <fill>
        <patternFill patternType="none">
          <bgColor auto="1"/>
        </patternFill>
      </fill>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font>
        <color theme="6" tint="0.79998168889431442"/>
      </font>
      <fill>
        <patternFill>
          <bgColor theme="6" tint="0.79998168889431442"/>
        </patternFill>
      </fill>
    </dxf>
    <dxf>
      <font>
        <b/>
        <i val="0"/>
        <color auto="1"/>
      </font>
      <fill>
        <patternFill>
          <bgColor rgb="FF00B050"/>
        </patternFill>
      </fill>
    </dxf>
    <dxf>
      <font>
        <b/>
        <i val="0"/>
      </font>
      <fill>
        <patternFill>
          <bgColor theme="6" tint="0.59996337778862885"/>
        </patternFill>
      </fill>
    </dxf>
    <dxf>
      <font>
        <b/>
        <i val="0"/>
        <color auto="1"/>
      </font>
      <fill>
        <patternFill>
          <bgColor rgb="FFFFC000"/>
        </patternFill>
      </fill>
    </dxf>
    <dxf>
      <font>
        <b/>
        <i val="0"/>
        <color auto="1"/>
      </font>
      <fill>
        <patternFill>
          <bgColor rgb="FFFF0000"/>
        </patternFill>
      </fill>
    </dxf>
    <dxf>
      <font>
        <color theme="6" tint="0.79998168889431442"/>
      </font>
      <fill>
        <patternFill patternType="lightUp"/>
      </fill>
    </dxf>
    <dxf>
      <font>
        <color rgb="FF9C0006"/>
      </font>
      <fill>
        <patternFill>
          <bgColor rgb="FFFFC7CE"/>
        </patternFill>
      </fill>
    </dxf>
    <dxf>
      <fill>
        <patternFill patternType="none">
          <bgColor auto="1"/>
        </patternFill>
      </fill>
      <border>
        <left style="thin">
          <color rgb="FFFF0000"/>
        </left>
        <right style="thin">
          <color rgb="FFFF0000"/>
        </right>
        <top style="thin">
          <color rgb="FFFF0000"/>
        </top>
        <bottom style="thin">
          <color rgb="FFFF0000"/>
        </bottom>
      </border>
    </dxf>
    <dxf>
      <font>
        <color rgb="FF9C0006"/>
      </font>
      <fill>
        <patternFill patternType="none">
          <bgColor auto="1"/>
        </patternFill>
      </fill>
      <border>
        <left style="thin">
          <color rgb="FFFF0000"/>
        </left>
        <right style="thin">
          <color rgb="FFFF0000"/>
        </right>
        <top style="thin">
          <color rgb="FFFF0000"/>
        </top>
        <bottom style="thin">
          <color rgb="FFFF0000"/>
        </bottom>
      </border>
    </dxf>
    <dxf>
      <font>
        <color rgb="FF9C0006"/>
      </font>
      <fill>
        <patternFill patternType="none">
          <bgColor auto="1"/>
        </patternFill>
      </fill>
      <border>
        <left style="thin">
          <color rgb="FFFF0000"/>
        </left>
        <right style="thin">
          <color rgb="FFFF0000"/>
        </right>
        <top style="thin">
          <color rgb="FFFF0000"/>
        </top>
        <bottom style="thin">
          <color rgb="FFFF0000"/>
        </bottom>
      </border>
    </dxf>
    <dxf>
      <font>
        <color rgb="FF9C0006"/>
      </font>
      <fill>
        <patternFill patternType="none">
          <bgColor auto="1"/>
        </patternFill>
      </fill>
      <border>
        <left style="thin">
          <color rgb="FFFF0000"/>
        </left>
        <right style="thin">
          <color rgb="FFFF0000"/>
        </right>
        <top style="thin">
          <color rgb="FFFF0000"/>
        </top>
        <bottom style="thin">
          <color rgb="FFFF0000"/>
        </bottom>
      </border>
    </dxf>
    <dxf>
      <fill>
        <patternFill patternType="none">
          <bgColor auto="1"/>
        </patternFill>
      </fill>
      <border>
        <left style="thin">
          <color rgb="FFFFC000"/>
        </left>
        <right style="thin">
          <color rgb="FFFFC000"/>
        </right>
        <top style="thin">
          <color rgb="FFFFC000"/>
        </top>
        <bottom style="thin">
          <color rgb="FFFFC000"/>
        </bottom>
      </border>
    </dxf>
    <dxf>
      <fill>
        <patternFill patternType="none">
          <bgColor auto="1"/>
        </patternFill>
      </fill>
      <border>
        <left style="thin">
          <color rgb="FFFFC000"/>
        </left>
        <right style="thin">
          <color rgb="FFFFC000"/>
        </right>
        <top style="thin">
          <color rgb="FFFFC000"/>
        </top>
        <bottom style="thin">
          <color rgb="FFFFC000"/>
        </bottom>
      </border>
    </dxf>
    <dxf>
      <font>
        <color rgb="FF9C0006"/>
      </font>
      <fill>
        <patternFill>
          <bgColor rgb="FFFFC7CE"/>
        </patternFill>
      </fill>
    </dxf>
    <dxf>
      <fill>
        <patternFill patternType="none">
          <bgColor auto="1"/>
        </patternFill>
      </fill>
      <border>
        <left style="thin">
          <color rgb="FFFF0000"/>
        </left>
        <right style="thin">
          <color rgb="FFFF0000"/>
        </right>
        <top style="thin">
          <color rgb="FFFF0000"/>
        </top>
        <bottom style="thin">
          <color rgb="FFFF0000"/>
        </bottom>
      </border>
    </dxf>
    <dxf>
      <fill>
        <patternFill patternType="none">
          <bgColor auto="1"/>
        </patternFill>
      </fill>
      <border>
        <left style="thin">
          <color rgb="FFFF0000"/>
        </left>
        <right style="thin">
          <color rgb="FFFF0000"/>
        </right>
        <top style="thin">
          <color rgb="FFFF0000"/>
        </top>
        <bottom style="thin">
          <color rgb="FFFF0000"/>
        </bottom>
      </border>
    </dxf>
    <dxf>
      <fill>
        <patternFill patternType="none">
          <bgColor auto="1"/>
        </patternFill>
      </fill>
      <border>
        <left style="thin">
          <color rgb="FFFF0000"/>
        </left>
        <right style="thin">
          <color rgb="FFFF0000"/>
        </right>
        <top style="thin">
          <color rgb="FFFF0000"/>
        </top>
        <bottom style="thin">
          <color rgb="FFFF0000"/>
        </bottom>
      </border>
    </dxf>
    <dxf>
      <fill>
        <patternFill patternType="lightUp"/>
      </fill>
      <border>
        <vertical/>
        <horizontal/>
      </border>
    </dxf>
    <dxf>
      <fill>
        <patternFill patternType="none">
          <bgColor auto="1"/>
        </patternFill>
      </fill>
      <border>
        <left style="thin">
          <color rgb="FFFF0000"/>
        </left>
        <right style="thin">
          <color rgb="FFFF0000"/>
        </right>
        <top style="thin">
          <color rgb="FFFF0000"/>
        </top>
        <bottom style="thin">
          <color rgb="FFFF0000"/>
        </bottom>
      </border>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7" tint="0.79998168889431442"/>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6" tint="0.79998168889431442"/>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auto="1"/>
      </font>
      <fill>
        <patternFill>
          <bgColor theme="0"/>
        </patternFill>
      </fill>
    </dxf>
    <dxf>
      <font>
        <color rgb="FF9C0006"/>
      </font>
      <fill>
        <patternFill>
          <bgColor rgb="FFFFC7CE"/>
        </patternFill>
      </fill>
    </dxf>
    <dxf>
      <font>
        <color rgb="FF9C0006"/>
      </font>
      <fill>
        <patternFill patternType="none">
          <bgColor auto="1"/>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91721885680058E-2"/>
          <c:y val="4.0980916594194575E-2"/>
          <c:w val="0.32531936049551308"/>
          <c:h val="0.88992726810298151"/>
        </c:manualLayout>
      </c:layout>
      <c:barChart>
        <c:barDir val="col"/>
        <c:grouping val="stacked"/>
        <c:varyColors val="0"/>
        <c:ser>
          <c:idx val="0"/>
          <c:order val="0"/>
          <c:tx>
            <c:strRef>
              <c:f>'Bilan aéraulique simplifié'!$O$2</c:f>
              <c:strCache>
                <c:ptCount val="1"/>
                <c:pt idx="0">
                  <c:v>Débit minimal des sas de décontamination opérateurs (Ds)</c:v>
                </c:pt>
              </c:strCache>
            </c:strRef>
          </c:tx>
          <c:spPr>
            <a:solidFill>
              <a:schemeClr val="accent6">
                <a:lumMod val="20000"/>
                <a:lumOff val="80000"/>
              </a:schemeClr>
            </a:solidFill>
            <a:ln>
              <a:solidFill>
                <a:schemeClr val="accent6">
                  <a:lumMod val="50000"/>
                </a:schemeClr>
              </a:solidFill>
            </a:ln>
          </c:spPr>
          <c:invertIfNegative val="0"/>
          <c:cat>
            <c:strRef>
              <c:f>'Bilan aéraulique simplifié'!$P$1:$Q$1</c:f>
              <c:strCache>
                <c:ptCount val="2"/>
                <c:pt idx="0">
                  <c:v>Débits à extraire</c:v>
                </c:pt>
                <c:pt idx="1">
                  <c:v>Débits extraits</c:v>
                </c:pt>
              </c:strCache>
            </c:strRef>
          </c:cat>
          <c:val>
            <c:numRef>
              <c:f>'Bilan aéraulique simplifié'!$P$2:$Q$2</c:f>
              <c:numCache>
                <c:formatCode>General</c:formatCode>
                <c:ptCount val="2"/>
                <c:pt idx="0" formatCode="_-* #,##0\ _€_-;\-* #,##0\ _€_-;_-* &quot;-&quot;??\ _€_-;_-@_-">
                  <c:v>240</c:v>
                </c:pt>
              </c:numCache>
            </c:numRef>
          </c:val>
        </c:ser>
        <c:ser>
          <c:idx val="1"/>
          <c:order val="1"/>
          <c:tx>
            <c:strRef>
              <c:f>'Bilan aéraulique simplifié'!$O$3</c:f>
              <c:strCache>
                <c:ptCount val="1"/>
                <c:pt idx="0">
                  <c:v>Débit minimal des sas de décontamination matériels (DsD)</c:v>
                </c:pt>
              </c:strCache>
            </c:strRef>
          </c:tx>
          <c:spPr>
            <a:solidFill>
              <a:schemeClr val="accent6">
                <a:lumMod val="40000"/>
                <a:lumOff val="60000"/>
              </a:schemeClr>
            </a:solidFill>
            <a:ln>
              <a:solidFill>
                <a:schemeClr val="accent6">
                  <a:lumMod val="50000"/>
                </a:schemeClr>
              </a:solidFill>
            </a:ln>
          </c:spPr>
          <c:invertIfNegative val="0"/>
          <c:cat>
            <c:strRef>
              <c:f>'Bilan aéraulique simplifié'!$P$1:$Q$1</c:f>
              <c:strCache>
                <c:ptCount val="2"/>
                <c:pt idx="0">
                  <c:v>Débits à extraire</c:v>
                </c:pt>
                <c:pt idx="1">
                  <c:v>Débits extraits</c:v>
                </c:pt>
              </c:strCache>
            </c:strRef>
          </c:cat>
          <c:val>
            <c:numRef>
              <c:f>'Bilan aéraulique simplifié'!$P$3:$Q$3</c:f>
              <c:numCache>
                <c:formatCode>General</c:formatCode>
                <c:ptCount val="2"/>
                <c:pt idx="0" formatCode="_-* #,##0\ _€_-;\-* #,##0\ _€_-;_-* &quot;-&quot;??\ _€_-;_-@_-">
                  <c:v>240</c:v>
                </c:pt>
              </c:numCache>
            </c:numRef>
          </c:val>
        </c:ser>
        <c:ser>
          <c:idx val="2"/>
          <c:order val="2"/>
          <c:tx>
            <c:strRef>
              <c:f>'Bilan aéraulique simplifié'!$O$4</c:f>
              <c:strCache>
                <c:ptCount val="1"/>
                <c:pt idx="0">
                  <c:v>Débit des entrées d'air de compensation (Dec)</c:v>
                </c:pt>
              </c:strCache>
            </c:strRef>
          </c:tx>
          <c:spPr>
            <a:solidFill>
              <a:schemeClr val="accent6">
                <a:lumMod val="60000"/>
                <a:lumOff val="40000"/>
              </a:schemeClr>
            </a:solidFill>
            <a:ln>
              <a:solidFill>
                <a:schemeClr val="accent6">
                  <a:lumMod val="75000"/>
                </a:schemeClr>
              </a:solidFill>
            </a:ln>
          </c:spPr>
          <c:invertIfNegative val="0"/>
          <c:cat>
            <c:strRef>
              <c:f>'Bilan aéraulique simplifié'!$P$1:$Q$1</c:f>
              <c:strCache>
                <c:ptCount val="2"/>
                <c:pt idx="0">
                  <c:v>Débits à extraire</c:v>
                </c:pt>
                <c:pt idx="1">
                  <c:v>Débits extraits</c:v>
                </c:pt>
              </c:strCache>
            </c:strRef>
          </c:cat>
          <c:val>
            <c:numRef>
              <c:f>'Bilan aéraulique simplifié'!$P$4:$Q$4</c:f>
              <c:numCache>
                <c:formatCode>General</c:formatCode>
                <c:ptCount val="2"/>
                <c:pt idx="0">
                  <c:v>3600</c:v>
                </c:pt>
              </c:numCache>
            </c:numRef>
          </c:val>
        </c:ser>
        <c:ser>
          <c:idx val="3"/>
          <c:order val="3"/>
          <c:tx>
            <c:strRef>
              <c:f>'Bilan aéraulique simplifié'!$O$5</c:f>
              <c:strCache>
                <c:ptCount val="1"/>
                <c:pt idx="0">
                  <c:v>Débit des entrées d'air de compensation additionnelles (Dea)</c:v>
                </c:pt>
              </c:strCache>
            </c:strRef>
          </c:tx>
          <c:spPr>
            <a:solidFill>
              <a:schemeClr val="accent6">
                <a:lumMod val="75000"/>
              </a:schemeClr>
            </a:solidFill>
            <a:ln>
              <a:solidFill>
                <a:schemeClr val="accent6">
                  <a:lumMod val="50000"/>
                </a:schemeClr>
              </a:solidFill>
            </a:ln>
          </c:spPr>
          <c:invertIfNegative val="0"/>
          <c:cat>
            <c:strRef>
              <c:f>'Bilan aéraulique simplifié'!$P$1:$Q$1</c:f>
              <c:strCache>
                <c:ptCount val="2"/>
                <c:pt idx="0">
                  <c:v>Débits à extraire</c:v>
                </c:pt>
                <c:pt idx="1">
                  <c:v>Débits extraits</c:v>
                </c:pt>
              </c:strCache>
            </c:strRef>
          </c:cat>
          <c:val>
            <c:numRef>
              <c:f>'Bilan aéraulique simplifié'!$P$5:$Q$5</c:f>
              <c:numCache>
                <c:formatCode>General</c:formatCode>
                <c:ptCount val="2"/>
                <c:pt idx="0">
                  <c:v>0</c:v>
                </c:pt>
              </c:numCache>
            </c:numRef>
          </c:val>
        </c:ser>
        <c:ser>
          <c:idx val="4"/>
          <c:order val="4"/>
          <c:tx>
            <c:strRef>
              <c:f>'Bilan aéraulique simplifié'!$O$6</c:f>
              <c:strCache>
                <c:ptCount val="1"/>
                <c:pt idx="0">
                  <c:v>Débit des entrées d'air non maitrisées (Denm)</c:v>
                </c:pt>
              </c:strCache>
            </c:strRef>
          </c:tx>
          <c:spPr>
            <a:solidFill>
              <a:schemeClr val="accent6">
                <a:lumMod val="50000"/>
              </a:schemeClr>
            </a:solidFill>
            <a:ln>
              <a:solidFill>
                <a:schemeClr val="accent6">
                  <a:lumMod val="50000"/>
                </a:schemeClr>
              </a:solidFill>
            </a:ln>
          </c:spPr>
          <c:invertIfNegative val="0"/>
          <c:cat>
            <c:strRef>
              <c:f>'Bilan aéraulique simplifié'!$P$1:$Q$1</c:f>
              <c:strCache>
                <c:ptCount val="2"/>
                <c:pt idx="0">
                  <c:v>Débits à extraire</c:v>
                </c:pt>
                <c:pt idx="1">
                  <c:v>Débits extraits</c:v>
                </c:pt>
              </c:strCache>
            </c:strRef>
          </c:cat>
          <c:val>
            <c:numRef>
              <c:f>'Bilan aéraulique simplifié'!$P$6:$Q$6</c:f>
              <c:numCache>
                <c:formatCode>General</c:formatCode>
                <c:ptCount val="2"/>
                <c:pt idx="0">
                  <c:v>300</c:v>
                </c:pt>
                <c:pt idx="1">
                  <c:v>0</c:v>
                </c:pt>
              </c:numCache>
            </c:numRef>
          </c:val>
        </c:ser>
        <c:ser>
          <c:idx val="5"/>
          <c:order val="5"/>
          <c:tx>
            <c:strRef>
              <c:f>'Bilan aéraulique simplifié'!$O$7</c:f>
              <c:strCache>
                <c:ptCount val="1"/>
                <c:pt idx="0">
                  <c:v>Débit des entrées d'air additionnelles de réglages (ou de régulation)</c:v>
                </c:pt>
              </c:strCache>
            </c:strRef>
          </c:tx>
          <c:spPr>
            <a:solidFill>
              <a:schemeClr val="accent4">
                <a:lumMod val="50000"/>
              </a:schemeClr>
            </a:solidFill>
            <a:ln>
              <a:solidFill>
                <a:schemeClr val="accent4">
                  <a:lumMod val="50000"/>
                </a:schemeClr>
              </a:solidFill>
            </a:ln>
            <a:effectLst>
              <a:softEdge rad="0"/>
            </a:effectLst>
          </c:spPr>
          <c:invertIfNegative val="0"/>
          <c:cat>
            <c:strRef>
              <c:f>'Bilan aéraulique simplifié'!$P$1:$Q$1</c:f>
              <c:strCache>
                <c:ptCount val="2"/>
                <c:pt idx="0">
                  <c:v>Débits à extraire</c:v>
                </c:pt>
                <c:pt idx="1">
                  <c:v>Débits extraits</c:v>
                </c:pt>
              </c:strCache>
            </c:strRef>
          </c:cat>
          <c:val>
            <c:numRef>
              <c:f>'Bilan aéraulique simplifié'!$P$7:$Q$7</c:f>
              <c:numCache>
                <c:formatCode>General</c:formatCode>
                <c:ptCount val="2"/>
                <c:pt idx="0">
                  <c:v>5000</c:v>
                </c:pt>
              </c:numCache>
            </c:numRef>
          </c:val>
        </c:ser>
        <c:ser>
          <c:idx val="6"/>
          <c:order val="6"/>
          <c:tx>
            <c:strRef>
              <c:f>'Bilan aéraulique simplifié'!$O$8</c:f>
              <c:strCache>
                <c:ptCount val="1"/>
                <c:pt idx="0">
                  <c:v>Débit d'extraction avec filtres encrassés (Dext)</c:v>
                </c:pt>
              </c:strCache>
            </c:strRef>
          </c:tx>
          <c:spPr>
            <a:pattFill prst="dkDnDiag">
              <a:fgClr>
                <a:schemeClr val="accent6">
                  <a:lumMod val="75000"/>
                </a:schemeClr>
              </a:fgClr>
              <a:bgClr>
                <a:schemeClr val="bg1"/>
              </a:bgClr>
            </a:pattFill>
            <a:ln>
              <a:solidFill>
                <a:schemeClr val="accent6">
                  <a:lumMod val="50000"/>
                </a:schemeClr>
              </a:solidFill>
            </a:ln>
          </c:spPr>
          <c:invertIfNegative val="0"/>
          <c:cat>
            <c:strRef>
              <c:f>'Bilan aéraulique simplifié'!$P$1:$Q$1</c:f>
              <c:strCache>
                <c:ptCount val="2"/>
                <c:pt idx="0">
                  <c:v>Débits à extraire</c:v>
                </c:pt>
                <c:pt idx="1">
                  <c:v>Débits extraits</c:v>
                </c:pt>
              </c:strCache>
            </c:strRef>
          </c:cat>
          <c:val>
            <c:numRef>
              <c:f>'Bilan aéraulique simplifié'!$P$8:$Q$8</c:f>
              <c:numCache>
                <c:formatCode>_-* #,##0\ _€_-;\-* #,##0\ _€_-;_-* "-"??\ _€_-;_-@_-</c:formatCode>
                <c:ptCount val="2"/>
                <c:pt idx="1">
                  <c:v>4800</c:v>
                </c:pt>
              </c:numCache>
            </c:numRef>
          </c:val>
        </c:ser>
        <c:ser>
          <c:idx val="7"/>
          <c:order val="7"/>
          <c:tx>
            <c:strRef>
              <c:f>'Bilan aéraulique simplifié'!$O$9</c:f>
              <c:strCache>
                <c:ptCount val="1"/>
                <c:pt idx="0">
                  <c:v>Débit d'extraction complémentaire avec filtres neufs</c:v>
                </c:pt>
              </c:strCache>
            </c:strRef>
          </c:tx>
          <c:spPr>
            <a:pattFill prst="dkDnDiag">
              <a:fgClr>
                <a:schemeClr val="accent4">
                  <a:lumMod val="50000"/>
                </a:schemeClr>
              </a:fgClr>
              <a:bgClr>
                <a:schemeClr val="bg1"/>
              </a:bgClr>
            </a:pattFill>
            <a:ln>
              <a:solidFill>
                <a:schemeClr val="accent4">
                  <a:lumMod val="50000"/>
                </a:schemeClr>
              </a:solidFill>
            </a:ln>
            <a:effectLst/>
          </c:spPr>
          <c:invertIfNegative val="0"/>
          <c:cat>
            <c:strRef>
              <c:f>'Bilan aéraulique simplifié'!$P$1:$Q$1</c:f>
              <c:strCache>
                <c:ptCount val="2"/>
                <c:pt idx="0">
                  <c:v>Débits à extraire</c:v>
                </c:pt>
                <c:pt idx="1">
                  <c:v>Débits extraits</c:v>
                </c:pt>
              </c:strCache>
            </c:strRef>
          </c:cat>
          <c:val>
            <c:numRef>
              <c:f>'Bilan aéraulique simplifié'!$P$9:$Q$9</c:f>
              <c:numCache>
                <c:formatCode>_-* #,##0\ _€_-;\-* #,##0\ _€_-;_-* "-"??\ _€_-;_-@_-</c:formatCode>
                <c:ptCount val="2"/>
                <c:pt idx="1">
                  <c:v>1200</c:v>
                </c:pt>
              </c:numCache>
            </c:numRef>
          </c:val>
        </c:ser>
        <c:ser>
          <c:idx val="8"/>
          <c:order val="8"/>
          <c:tx>
            <c:strRef>
              <c:f>'Bilan aéraulique simplifié'!$O$10</c:f>
              <c:strCache>
                <c:ptCount val="1"/>
                <c:pt idx="0">
                  <c:v>Débit des extracteurs de secours</c:v>
                </c:pt>
              </c:strCache>
            </c:strRef>
          </c:tx>
          <c:spPr>
            <a:pattFill prst="ltDnDiag">
              <a:fgClr>
                <a:schemeClr val="accent4">
                  <a:lumMod val="75000"/>
                </a:schemeClr>
              </a:fgClr>
              <a:bgClr>
                <a:schemeClr val="bg1"/>
              </a:bgClr>
            </a:pattFill>
            <a:ln>
              <a:solidFill>
                <a:schemeClr val="accent4">
                  <a:lumMod val="50000"/>
                </a:schemeClr>
              </a:solidFill>
            </a:ln>
            <a:effectLst/>
          </c:spPr>
          <c:invertIfNegative val="0"/>
          <c:cat>
            <c:strRef>
              <c:f>'Bilan aéraulique simplifié'!$P$1:$Q$1</c:f>
              <c:strCache>
                <c:ptCount val="2"/>
                <c:pt idx="0">
                  <c:v>Débits à extraire</c:v>
                </c:pt>
                <c:pt idx="1">
                  <c:v>Débits extraits</c:v>
                </c:pt>
              </c:strCache>
            </c:strRef>
          </c:cat>
          <c:val>
            <c:numRef>
              <c:f>'Bilan aéraulique simplifié'!$P$10:$Q$10</c:f>
              <c:numCache>
                <c:formatCode>_-* #,##0\ _€_-;\-* #,##0\ _€_-;_-* "-"??\ _€_-;_-@_-</c:formatCode>
                <c:ptCount val="2"/>
                <c:pt idx="1">
                  <c:v>2500</c:v>
                </c:pt>
              </c:numCache>
            </c:numRef>
          </c:val>
        </c:ser>
        <c:ser>
          <c:idx val="9"/>
          <c:order val="9"/>
          <c:tx>
            <c:strRef>
              <c:f>'Bilan aéraulique simplifié'!#REF!</c:f>
              <c:strCache>
                <c:ptCount val="1"/>
                <c:pt idx="0">
                  <c:v>#REF!</c:v>
                </c:pt>
              </c:strCache>
            </c:strRef>
          </c:tx>
          <c:invertIfNegative val="0"/>
          <c:cat>
            <c:strRef>
              <c:f>'Bilan aéraulique simplifié'!$P$1:$Q$1</c:f>
              <c:strCache>
                <c:ptCount val="2"/>
                <c:pt idx="0">
                  <c:v>Débits à extraire</c:v>
                </c:pt>
                <c:pt idx="1">
                  <c:v>Débits extraits</c:v>
                </c:pt>
              </c:strCache>
            </c:strRef>
          </c:cat>
          <c:val>
            <c:numRef>
              <c:f>'Bilan aéraulique simplifié'!#REF!</c:f>
              <c:numCache>
                <c:formatCode>General</c:formatCode>
                <c:ptCount val="1"/>
                <c:pt idx="0">
                  <c:v>1</c:v>
                </c:pt>
              </c:numCache>
            </c:numRef>
          </c:val>
        </c:ser>
        <c:dLbls>
          <c:showLegendKey val="0"/>
          <c:showVal val="0"/>
          <c:showCatName val="0"/>
          <c:showSerName val="0"/>
          <c:showPercent val="0"/>
          <c:showBubbleSize val="0"/>
        </c:dLbls>
        <c:gapWidth val="123"/>
        <c:overlap val="100"/>
        <c:axId val="80146432"/>
        <c:axId val="80147968"/>
      </c:barChart>
      <c:catAx>
        <c:axId val="80146432"/>
        <c:scaling>
          <c:orientation val="minMax"/>
        </c:scaling>
        <c:delete val="0"/>
        <c:axPos val="b"/>
        <c:majorTickMark val="out"/>
        <c:minorTickMark val="none"/>
        <c:tickLblPos val="nextTo"/>
        <c:txPr>
          <a:bodyPr/>
          <a:lstStyle/>
          <a:p>
            <a:pPr>
              <a:defRPr>
                <a:solidFill>
                  <a:schemeClr val="accent4">
                    <a:lumMod val="50000"/>
                  </a:schemeClr>
                </a:solidFill>
              </a:defRPr>
            </a:pPr>
            <a:endParaRPr lang="fr-FR"/>
          </a:p>
        </c:txPr>
        <c:crossAx val="80147968"/>
        <c:crosses val="autoZero"/>
        <c:auto val="1"/>
        <c:lblAlgn val="ctr"/>
        <c:lblOffset val="100"/>
        <c:noMultiLvlLbl val="0"/>
      </c:catAx>
      <c:valAx>
        <c:axId val="80147968"/>
        <c:scaling>
          <c:orientation val="minMax"/>
          <c:min val="0"/>
        </c:scaling>
        <c:delete val="0"/>
        <c:axPos val="l"/>
        <c:majorGridlines/>
        <c:title>
          <c:tx>
            <c:rich>
              <a:bodyPr rot="-5400000" vert="horz"/>
              <a:lstStyle/>
              <a:p>
                <a:pPr>
                  <a:defRPr/>
                </a:pPr>
                <a:r>
                  <a:rPr lang="en-US"/>
                  <a:t>Débit en m3/h</a:t>
                </a:r>
              </a:p>
            </c:rich>
          </c:tx>
          <c:layout/>
          <c:overlay val="0"/>
        </c:title>
        <c:numFmt formatCode="_-* #,##0\ _€_-;\-* #,##0\ _€_-;_-* &quot;-&quot;??\ _€_-;_-@_-" sourceLinked="1"/>
        <c:majorTickMark val="out"/>
        <c:minorTickMark val="none"/>
        <c:tickLblPos val="nextTo"/>
        <c:spPr>
          <a:ln>
            <a:solidFill>
              <a:schemeClr val="accent4">
                <a:lumMod val="50000"/>
              </a:schemeClr>
            </a:solidFill>
          </a:ln>
        </c:spPr>
        <c:txPr>
          <a:bodyPr/>
          <a:lstStyle/>
          <a:p>
            <a:pPr>
              <a:defRPr>
                <a:solidFill>
                  <a:schemeClr val="accent4">
                    <a:lumMod val="50000"/>
                  </a:schemeClr>
                </a:solidFill>
              </a:defRPr>
            </a:pPr>
            <a:endParaRPr lang="fr-FR"/>
          </a:p>
        </c:txPr>
        <c:crossAx val="80146432"/>
        <c:crosses val="autoZero"/>
        <c:crossBetween val="between"/>
      </c:valAx>
      <c:spPr>
        <a:noFill/>
      </c:spPr>
    </c:plotArea>
    <c:legend>
      <c:legendPos val="r"/>
      <c:legendEntry>
        <c:idx val="0"/>
        <c:delete val="1"/>
      </c:legendEntry>
      <c:layout>
        <c:manualLayout>
          <c:xMode val="edge"/>
          <c:yMode val="edge"/>
          <c:x val="0.37341108716184596"/>
          <c:y val="3.9840441015794202E-3"/>
          <c:w val="0.62658891283815399"/>
          <c:h val="0.98143192079007968"/>
        </c:manualLayout>
      </c:layout>
      <c:overlay val="0"/>
      <c:spPr>
        <a:noFill/>
      </c:spPr>
      <c:txPr>
        <a:bodyPr/>
        <a:lstStyle/>
        <a:p>
          <a:pPr>
            <a:defRPr sz="1400">
              <a:solidFill>
                <a:schemeClr val="accent4">
                  <a:lumMod val="50000"/>
                </a:schemeClr>
              </a:solidFill>
            </a:defRPr>
          </a:pPr>
          <a:endParaRPr lang="fr-FR"/>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Feuil1!$C$1</c:f>
              <c:strCache>
                <c:ptCount val="1"/>
                <c:pt idx="0">
                  <c:v>Volume du confinement</c:v>
                </c:pt>
              </c:strCache>
            </c:strRef>
          </c:tx>
          <c:spPr>
            <a:ln w="28575">
              <a:noFill/>
            </a:ln>
          </c:spPr>
          <c:xVal>
            <c:numRef>
              <c:f>Feuil1!$D$2:$D$7</c:f>
              <c:numCache>
                <c:formatCode>General</c:formatCode>
                <c:ptCount val="6"/>
                <c:pt idx="0">
                  <c:v>17</c:v>
                </c:pt>
                <c:pt idx="1">
                  <c:v>15</c:v>
                </c:pt>
                <c:pt idx="2">
                  <c:v>12</c:v>
                </c:pt>
                <c:pt idx="3">
                  <c:v>10</c:v>
                </c:pt>
                <c:pt idx="4">
                  <c:v>9.9</c:v>
                </c:pt>
                <c:pt idx="5">
                  <c:v>9.8000000000000007</c:v>
                </c:pt>
              </c:numCache>
            </c:numRef>
          </c:xVal>
          <c:yVal>
            <c:numRef>
              <c:f>Feuil1!$C$2:$C$7</c:f>
              <c:numCache>
                <c:formatCode>General</c:formatCode>
                <c:ptCount val="6"/>
                <c:pt idx="0">
                  <c:v>4000</c:v>
                </c:pt>
                <c:pt idx="1">
                  <c:v>8000</c:v>
                </c:pt>
                <c:pt idx="2">
                  <c:v>20000</c:v>
                </c:pt>
                <c:pt idx="3">
                  <c:v>44000</c:v>
                </c:pt>
                <c:pt idx="4">
                  <c:v>64000</c:v>
                </c:pt>
                <c:pt idx="5">
                  <c:v>80000</c:v>
                </c:pt>
              </c:numCache>
            </c:numRef>
          </c:yVal>
          <c:smooth val="0"/>
        </c:ser>
        <c:dLbls>
          <c:showLegendKey val="0"/>
          <c:showVal val="0"/>
          <c:showCatName val="0"/>
          <c:showSerName val="0"/>
          <c:showPercent val="0"/>
          <c:showBubbleSize val="0"/>
        </c:dLbls>
        <c:axId val="96846592"/>
        <c:axId val="96870784"/>
      </c:scatterChart>
      <c:valAx>
        <c:axId val="968465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6870784"/>
        <c:crosses val="autoZero"/>
        <c:crossBetween val="midCat"/>
      </c:valAx>
      <c:valAx>
        <c:axId val="96870784"/>
        <c:scaling>
          <c:orientation val="minMax"/>
        </c:scaling>
        <c:delete val="0"/>
        <c:axPos val="l"/>
        <c:majorGridlines/>
        <c:numFmt formatCode="General" sourceLinked="1"/>
        <c:majorTickMark val="out"/>
        <c:minorTickMark val="none"/>
        <c:tickLblPos val="nextTo"/>
        <c:crossAx val="9684659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Feuil1!$D$1</c:f>
              <c:strCache>
                <c:ptCount val="1"/>
                <c:pt idx="0">
                  <c:v>Taux de fuites</c:v>
                </c:pt>
              </c:strCache>
            </c:strRef>
          </c:tx>
          <c:spPr>
            <a:ln w="28575">
              <a:solidFill>
                <a:schemeClr val="accent1"/>
              </a:solidFill>
            </a:ln>
          </c:spPr>
          <c:trendline>
            <c:trendlineType val="poly"/>
            <c:order val="4"/>
            <c:dispRSqr val="0"/>
            <c:dispEq val="1"/>
            <c:trendlineLbl>
              <c:numFmt formatCode="General" sourceLinked="0"/>
            </c:trendlineLbl>
          </c:trendline>
          <c:trendline>
            <c:trendlineType val="power"/>
            <c:dispRSqr val="0"/>
            <c:dispEq val="1"/>
            <c:trendlineLbl>
              <c:numFmt formatCode="General" sourceLinked="0"/>
            </c:trendlineLbl>
          </c:trendline>
          <c:xVal>
            <c:numRef>
              <c:f>Feuil1!$C$2:$C$7</c:f>
              <c:numCache>
                <c:formatCode>General</c:formatCode>
                <c:ptCount val="6"/>
                <c:pt idx="0">
                  <c:v>4000</c:v>
                </c:pt>
                <c:pt idx="1">
                  <c:v>8000</c:v>
                </c:pt>
                <c:pt idx="2">
                  <c:v>20000</c:v>
                </c:pt>
                <c:pt idx="3">
                  <c:v>44000</c:v>
                </c:pt>
                <c:pt idx="4">
                  <c:v>64000</c:v>
                </c:pt>
                <c:pt idx="5">
                  <c:v>80000</c:v>
                </c:pt>
              </c:numCache>
            </c:numRef>
          </c:xVal>
          <c:yVal>
            <c:numRef>
              <c:f>Feuil1!$D$2:$D$7</c:f>
              <c:numCache>
                <c:formatCode>General</c:formatCode>
                <c:ptCount val="6"/>
                <c:pt idx="0">
                  <c:v>17</c:v>
                </c:pt>
                <c:pt idx="1">
                  <c:v>15</c:v>
                </c:pt>
                <c:pt idx="2">
                  <c:v>12</c:v>
                </c:pt>
                <c:pt idx="3">
                  <c:v>10</c:v>
                </c:pt>
                <c:pt idx="4">
                  <c:v>9.9</c:v>
                </c:pt>
                <c:pt idx="5">
                  <c:v>9.8000000000000007</c:v>
                </c:pt>
              </c:numCache>
            </c:numRef>
          </c:yVal>
          <c:smooth val="1"/>
        </c:ser>
        <c:dLbls>
          <c:showLegendKey val="0"/>
          <c:showVal val="0"/>
          <c:showCatName val="0"/>
          <c:showSerName val="0"/>
          <c:showPercent val="0"/>
          <c:showBubbleSize val="0"/>
        </c:dLbls>
        <c:axId val="70964736"/>
        <c:axId val="70966272"/>
      </c:scatterChart>
      <c:valAx>
        <c:axId val="70964736"/>
        <c:scaling>
          <c:orientation val="minMax"/>
        </c:scaling>
        <c:delete val="0"/>
        <c:axPos val="b"/>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0966272"/>
        <c:crossesAt val="1"/>
        <c:crossBetween val="midCat"/>
      </c:valAx>
      <c:valAx>
        <c:axId val="70966272"/>
        <c:scaling>
          <c:orientation val="minMax"/>
          <c:max val="18"/>
          <c:min val="0"/>
        </c:scaling>
        <c:delete val="0"/>
        <c:axPos val="l"/>
        <c:majorGridlines/>
        <c:minorGridlines/>
        <c:numFmt formatCode="General" sourceLinked="1"/>
        <c:majorTickMark val="out"/>
        <c:minorTickMark val="none"/>
        <c:tickLblPos val="nextTo"/>
        <c:crossAx val="70964736"/>
        <c:crosses val="autoZero"/>
        <c:crossBetween val="midCat"/>
        <c:majorUnit val="10"/>
        <c:minorUnit val="10"/>
      </c:valAx>
    </c:plotArea>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Lines="2" dropStyle="combo" dx="16" fmlaLink="$D$38" fmlaRange="'Niveau d''empoussièrement'!$B$1:$C$2" val="0"/>
</file>

<file path=xl/ctrlProps/ctrlProp10.xml><?xml version="1.0" encoding="utf-8"?>
<formControlPr xmlns="http://schemas.microsoft.com/office/spreadsheetml/2009/9/main" objectType="CheckBox" fmlaLink="$D$169" lockText="1" noThreeD="1"/>
</file>

<file path=xl/ctrlProps/ctrlProp11.xml><?xml version="1.0" encoding="utf-8"?>
<formControlPr xmlns="http://schemas.microsoft.com/office/spreadsheetml/2009/9/main" objectType="CheckBox" checked="Checked" fmlaLink="$E$169" lockText="1" noThreeD="1"/>
</file>

<file path=xl/ctrlProps/ctrlProp12.xml><?xml version="1.0" encoding="utf-8"?>
<formControlPr xmlns="http://schemas.microsoft.com/office/spreadsheetml/2009/9/main" objectType="CheckBox" fmlaLink="F134" lockText="1" noThreeD="1"/>
</file>

<file path=xl/ctrlProps/ctrlProp13.xml><?xml version="1.0" encoding="utf-8"?>
<formControlPr xmlns="http://schemas.microsoft.com/office/spreadsheetml/2009/9/main" objectType="CheckBox" checked="Checked" fmlaLink="G134" lockText="1" noThreeD="1"/>
</file>

<file path=xl/ctrlProps/ctrlProp14.xml><?xml version="1.0" encoding="utf-8"?>
<formControlPr xmlns="http://schemas.microsoft.com/office/spreadsheetml/2009/9/main" objectType="CheckBox" fmlaLink="F135" lockText="1" noThreeD="1"/>
</file>

<file path=xl/ctrlProps/ctrlProp15.xml><?xml version="1.0" encoding="utf-8"?>
<formControlPr xmlns="http://schemas.microsoft.com/office/spreadsheetml/2009/9/main" objectType="CheckBox" checked="Checked" fmlaLink="G135" lockText="1" noThreeD="1"/>
</file>

<file path=xl/ctrlProps/ctrlProp16.xml><?xml version="1.0" encoding="utf-8"?>
<formControlPr xmlns="http://schemas.microsoft.com/office/spreadsheetml/2009/9/main" objectType="CheckBox" fmlaLink="F136" lockText="1" noThreeD="1"/>
</file>

<file path=xl/ctrlProps/ctrlProp17.xml><?xml version="1.0" encoding="utf-8"?>
<formControlPr xmlns="http://schemas.microsoft.com/office/spreadsheetml/2009/9/main" objectType="CheckBox" checked="Checked" fmlaLink="G136" lockText="1" noThreeD="1"/>
</file>

<file path=xl/ctrlProps/ctrlProp18.xml><?xml version="1.0" encoding="utf-8"?>
<formControlPr xmlns="http://schemas.microsoft.com/office/spreadsheetml/2009/9/main" objectType="Scroll" dx="16" fmlaLink="$G$169" inc="5" max="30" page="10" val="5"/>
</file>

<file path=xl/ctrlProps/ctrlProp2.xml><?xml version="1.0" encoding="utf-8"?>
<formControlPr xmlns="http://schemas.microsoft.com/office/spreadsheetml/2009/9/main" objectType="Drop" dropLines="2" dropStyle="combo" dx="16" fmlaLink="$D$96" fmlaRange="'Entrée d''air'!$B$1:$C$2" sel="2" val="0"/>
</file>

<file path=xl/ctrlProps/ctrlProp3.xml><?xml version="1.0" encoding="utf-8"?>
<formControlPr xmlns="http://schemas.microsoft.com/office/spreadsheetml/2009/9/main" objectType="CheckBox" checked="Checked" fmlaLink="F17" lockText="1" noThreeD="1"/>
</file>

<file path=xl/ctrlProps/ctrlProp4.xml><?xml version="1.0" encoding="utf-8"?>
<formControlPr xmlns="http://schemas.microsoft.com/office/spreadsheetml/2009/9/main" objectType="CheckBox" fmlaLink="$E$17" lockText="1" noThreeD="1"/>
</file>

<file path=xl/ctrlProps/ctrlProp5.xml><?xml version="1.0" encoding="utf-8"?>
<formControlPr xmlns="http://schemas.microsoft.com/office/spreadsheetml/2009/9/main" objectType="CheckBox" checked="Checked" fmlaLink="$F$21" lockText="1" noThreeD="1"/>
</file>

<file path=xl/ctrlProps/ctrlProp6.xml><?xml version="1.0" encoding="utf-8"?>
<formControlPr xmlns="http://schemas.microsoft.com/office/spreadsheetml/2009/9/main" objectType="CheckBox" fmlaLink="$E$21" lockText="1" noThreeD="1"/>
</file>

<file path=xl/ctrlProps/ctrlProp7.xml><?xml version="1.0" encoding="utf-8"?>
<formControlPr xmlns="http://schemas.microsoft.com/office/spreadsheetml/2009/9/main" objectType="CheckBox" checked="Checked" fmlaLink="$F$19" lockText="1" noThreeD="1"/>
</file>

<file path=xl/ctrlProps/ctrlProp8.xml><?xml version="1.0" encoding="utf-8"?>
<formControlPr xmlns="http://schemas.microsoft.com/office/spreadsheetml/2009/9/main" objectType="CheckBox" fmlaLink="$E$19" lockText="1" noThreeD="1"/>
</file>

<file path=xl/ctrlProps/ctrlProp9.xml><?xml version="1.0" encoding="utf-8"?>
<formControlPr xmlns="http://schemas.microsoft.com/office/spreadsheetml/2009/9/main" objectType="Scroll" dx="16" fmlaLink="$D$179" inc="50" max="20000" min="250" page="10" val="2500"/>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10" Type="http://schemas.openxmlformats.org/officeDocument/2006/relationships/chart" Target="../charts/chart1.xml"/><Relationship Id="rId4" Type="http://schemas.openxmlformats.org/officeDocument/2006/relationships/image" Target="../media/image4.jpe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178598</xdr:colOff>
      <xdr:row>214</xdr:row>
      <xdr:rowOff>214311</xdr:rowOff>
    </xdr:from>
    <xdr:to>
      <xdr:col>6</xdr:col>
      <xdr:colOff>5036343</xdr:colOff>
      <xdr:row>214</xdr:row>
      <xdr:rowOff>1788582</xdr:rowOff>
    </xdr:to>
    <xdr:sp macro="" textlink="">
      <xdr:nvSpPr>
        <xdr:cNvPr id="259" name="Rectangle 258"/>
        <xdr:cNvSpPr/>
      </xdr:nvSpPr>
      <xdr:spPr>
        <a:xfrm>
          <a:off x="6262692" y="54435374"/>
          <a:ext cx="5929307" cy="1574271"/>
        </a:xfrm>
        <a:prstGeom prst="rect">
          <a:avLst/>
        </a:prstGeom>
        <a:solidFill>
          <a:schemeClr val="accent1">
            <a:lumMod val="20000"/>
            <a:lumOff val="80000"/>
            <a:alpha val="8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190505</xdr:colOff>
      <xdr:row>214</xdr:row>
      <xdr:rowOff>1866849</xdr:rowOff>
    </xdr:from>
    <xdr:to>
      <xdr:col>6</xdr:col>
      <xdr:colOff>5036344</xdr:colOff>
      <xdr:row>214</xdr:row>
      <xdr:rowOff>5048250</xdr:rowOff>
    </xdr:to>
    <xdr:sp macro="" textlink="">
      <xdr:nvSpPr>
        <xdr:cNvPr id="260" name="Rectangle 259"/>
        <xdr:cNvSpPr/>
      </xdr:nvSpPr>
      <xdr:spPr>
        <a:xfrm>
          <a:off x="6274599" y="56087912"/>
          <a:ext cx="5917401" cy="3181401"/>
        </a:xfrm>
        <a:prstGeom prst="rect">
          <a:avLst/>
        </a:prstGeom>
        <a:solidFill>
          <a:schemeClr val="accent1">
            <a:lumMod val="20000"/>
            <a:lumOff val="80000"/>
            <a:alpha val="8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3064314</xdr:colOff>
      <xdr:row>214</xdr:row>
      <xdr:rowOff>240848</xdr:rowOff>
    </xdr:from>
    <xdr:to>
      <xdr:col>3</xdr:col>
      <xdr:colOff>951806</xdr:colOff>
      <xdr:row>214</xdr:row>
      <xdr:rowOff>5132616</xdr:rowOff>
    </xdr:to>
    <xdr:sp macro="" textlink="">
      <xdr:nvSpPr>
        <xdr:cNvPr id="258" name="Rectangle 257"/>
        <xdr:cNvSpPr/>
      </xdr:nvSpPr>
      <xdr:spPr>
        <a:xfrm>
          <a:off x="3350064" y="54461911"/>
          <a:ext cx="1971336" cy="4891768"/>
        </a:xfrm>
        <a:prstGeom prst="rect">
          <a:avLst/>
        </a:prstGeom>
        <a:solidFill>
          <a:schemeClr val="accent1">
            <a:lumMod val="20000"/>
            <a:lumOff val="80000"/>
            <a:alpha val="8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964409</xdr:colOff>
      <xdr:row>214</xdr:row>
      <xdr:rowOff>238125</xdr:rowOff>
    </xdr:from>
    <xdr:to>
      <xdr:col>2</xdr:col>
      <xdr:colOff>2939146</xdr:colOff>
      <xdr:row>214</xdr:row>
      <xdr:rowOff>5129893</xdr:rowOff>
    </xdr:to>
    <xdr:sp macro="" textlink="">
      <xdr:nvSpPr>
        <xdr:cNvPr id="14" name="Rectangle 13"/>
        <xdr:cNvSpPr/>
      </xdr:nvSpPr>
      <xdr:spPr>
        <a:xfrm>
          <a:off x="1250159" y="54459188"/>
          <a:ext cx="1974737" cy="4891768"/>
        </a:xfrm>
        <a:prstGeom prst="rect">
          <a:avLst/>
        </a:prstGeom>
        <a:solidFill>
          <a:schemeClr val="accent1">
            <a:lumMod val="20000"/>
            <a:lumOff val="80000"/>
            <a:alpha val="8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37</xdr:row>
          <xdr:rowOff>11906</xdr:rowOff>
        </xdr:from>
        <xdr:to>
          <xdr:col>4</xdr:col>
          <xdr:colOff>678656</xdr:colOff>
          <xdr:row>37</xdr:row>
          <xdr:rowOff>250031</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1</xdr:rowOff>
        </xdr:from>
        <xdr:to>
          <xdr:col>5</xdr:col>
          <xdr:colOff>11906</xdr:colOff>
          <xdr:row>95</xdr:row>
          <xdr:rowOff>324093</xdr:rowOff>
        </xdr:to>
        <xdr:sp macro="" textlink="">
          <xdr:nvSpPr>
            <xdr:cNvPr id="1039" name="Drop Down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twoCellAnchor editAs="oneCell">
    <xdr:from>
      <xdr:col>0</xdr:col>
      <xdr:colOff>55470</xdr:colOff>
      <xdr:row>0</xdr:row>
      <xdr:rowOff>247730</xdr:rowOff>
    </xdr:from>
    <xdr:to>
      <xdr:col>2</xdr:col>
      <xdr:colOff>864652</xdr:colOff>
      <xdr:row>0</xdr:row>
      <xdr:rowOff>904876</xdr:rowOff>
    </xdr:to>
    <xdr:pic>
      <xdr:nvPicPr>
        <xdr:cNvPr id="4" name="Picture 5" descr="P:\COMM\LOGOS\Logocram\CRAM-ne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70" y="247730"/>
          <a:ext cx="1115040" cy="657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857250</xdr:colOff>
      <xdr:row>0</xdr:row>
      <xdr:rowOff>247651</xdr:rowOff>
    </xdr:from>
    <xdr:to>
      <xdr:col>2</xdr:col>
      <xdr:colOff>1933577</xdr:colOff>
      <xdr:row>0</xdr:row>
      <xdr:rowOff>885825</xdr:rowOff>
    </xdr:to>
    <xdr:pic>
      <xdr:nvPicPr>
        <xdr:cNvPr id="5" name="Picture 15" descr="P:\COMM\FLORENCE\logos\Risques Professionnels\AM_RPrvb.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2525" y="247651"/>
          <a:ext cx="1076327"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1940860</xdr:colOff>
      <xdr:row>0</xdr:row>
      <xdr:rowOff>306953</xdr:rowOff>
    </xdr:from>
    <xdr:to>
      <xdr:col>2</xdr:col>
      <xdr:colOff>3283885</xdr:colOff>
      <xdr:row>0</xdr:row>
      <xdr:rowOff>820806</xdr:rowOff>
    </xdr:to>
    <xdr:pic>
      <xdr:nvPicPr>
        <xdr:cNvPr id="6" name="Picture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36135" y="306953"/>
          <a:ext cx="1343025" cy="513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9525</xdr:rowOff>
    </xdr:from>
    <xdr:to>
      <xdr:col>9</xdr:col>
      <xdr:colOff>0</xdr:colOff>
      <xdr:row>0</xdr:row>
      <xdr:rowOff>866775</xdr:rowOff>
    </xdr:to>
    <xdr:pic>
      <xdr:nvPicPr>
        <xdr:cNvPr id="7" name="Picture 10" descr="C:\Documents and Settings\jerome.beillevaire\Bureau\logo ministère du travail184.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544425" y="9525"/>
          <a:ext cx="6762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3304055</xdr:colOff>
      <xdr:row>0</xdr:row>
      <xdr:rowOff>232049</xdr:rowOff>
    </xdr:from>
    <xdr:to>
      <xdr:col>2</xdr:col>
      <xdr:colOff>3852071</xdr:colOff>
      <xdr:row>0</xdr:row>
      <xdr:rowOff>857251</xdr:rowOff>
    </xdr:to>
    <xdr:pic>
      <xdr:nvPicPr>
        <xdr:cNvPr id="8" name="Picture 10" descr="C:\Documents and Settings\jerome.beillevaire\Bureau\logo ministère du travail184.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599330" y="232049"/>
          <a:ext cx="548016" cy="625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168088</xdr:colOff>
      <xdr:row>132</xdr:row>
      <xdr:rowOff>425823</xdr:rowOff>
    </xdr:from>
    <xdr:to>
      <xdr:col>6</xdr:col>
      <xdr:colOff>2995239</xdr:colOff>
      <xdr:row>140</xdr:row>
      <xdr:rowOff>348347</xdr:rowOff>
    </xdr:to>
    <xdr:pic>
      <xdr:nvPicPr>
        <xdr:cNvPr id="11" name="Image 1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64088" y="25784735"/>
          <a:ext cx="3902916" cy="3485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2561167</xdr:colOff>
      <xdr:row>95</xdr:row>
      <xdr:rowOff>222250</xdr:rowOff>
    </xdr:from>
    <xdr:to>
      <xdr:col>7</xdr:col>
      <xdr:colOff>132443</xdr:colOff>
      <xdr:row>105</xdr:row>
      <xdr:rowOff>6405</xdr:rowOff>
    </xdr:to>
    <xdr:pic>
      <xdr:nvPicPr>
        <xdr:cNvPr id="62" name="Image 6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662584" y="18108083"/>
          <a:ext cx="3486036" cy="1826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4672528</xdr:colOff>
      <xdr:row>112</xdr:row>
      <xdr:rowOff>171450</xdr:rowOff>
    </xdr:from>
    <xdr:to>
      <xdr:col>7</xdr:col>
      <xdr:colOff>80419</xdr:colOff>
      <xdr:row>114</xdr:row>
      <xdr:rowOff>228600</xdr:rowOff>
    </xdr:to>
    <xdr:grpSp>
      <xdr:nvGrpSpPr>
        <xdr:cNvPr id="252" name="Groupe 251"/>
        <xdr:cNvGrpSpPr/>
      </xdr:nvGrpSpPr>
      <xdr:grpSpPr>
        <a:xfrm>
          <a:off x="11844293" y="21036803"/>
          <a:ext cx="1324597" cy="852768"/>
          <a:chOff x="10525125" y="17383125"/>
          <a:chExt cx="1323975" cy="857250"/>
        </a:xfrm>
      </xdr:grpSpPr>
      <xdr:grpSp>
        <xdr:nvGrpSpPr>
          <xdr:cNvPr id="9" name="Groupe 8"/>
          <xdr:cNvGrpSpPr/>
        </xdr:nvGrpSpPr>
        <xdr:grpSpPr>
          <a:xfrm>
            <a:off x="10525125" y="17383125"/>
            <a:ext cx="1323975" cy="857250"/>
            <a:chOff x="257175" y="16925925"/>
            <a:chExt cx="1905001" cy="1095376"/>
          </a:xfrm>
        </xdr:grpSpPr>
        <xdr:grpSp>
          <xdr:nvGrpSpPr>
            <xdr:cNvPr id="63" name="Groupe 62"/>
            <xdr:cNvGrpSpPr/>
          </xdr:nvGrpSpPr>
          <xdr:grpSpPr>
            <a:xfrm>
              <a:off x="485776" y="16925925"/>
              <a:ext cx="1676400" cy="1095376"/>
              <a:chOff x="4562476" y="685799"/>
              <a:chExt cx="1676400" cy="1095376"/>
            </a:xfrm>
          </xdr:grpSpPr>
          <xdr:grpSp>
            <xdr:nvGrpSpPr>
              <xdr:cNvPr id="64" name="Groupe 63"/>
              <xdr:cNvGrpSpPr/>
            </xdr:nvGrpSpPr>
            <xdr:grpSpPr>
              <a:xfrm>
                <a:off x="4562476" y="685799"/>
                <a:ext cx="1676400" cy="1095376"/>
                <a:chOff x="4562476" y="685799"/>
                <a:chExt cx="1676400" cy="1095376"/>
              </a:xfrm>
            </xdr:grpSpPr>
            <xdr:sp macro="" textlink="">
              <xdr:nvSpPr>
                <xdr:cNvPr id="71" name="Rectangle 70"/>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72" name="Rectangle 71"/>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73" name="ZoneTexte 72"/>
                <xdr:cNvSpPr txBox="1"/>
              </xdr:nvSpPr>
              <xdr:spPr>
                <a:xfrm>
                  <a:off x="4572000" y="800100"/>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aseline="30000"/>
                    <a:t>Dec</a:t>
                  </a:r>
                </a:p>
              </xdr:txBody>
            </xdr:sp>
          </xdr:grpSp>
          <xdr:grpSp>
            <xdr:nvGrpSpPr>
              <xdr:cNvPr id="65" name="Groupe 64"/>
              <xdr:cNvGrpSpPr/>
            </xdr:nvGrpSpPr>
            <xdr:grpSpPr>
              <a:xfrm>
                <a:off x="5410199" y="828675"/>
                <a:ext cx="628651" cy="209550"/>
                <a:chOff x="2524124" y="600075"/>
                <a:chExt cx="447675" cy="133350"/>
              </a:xfrm>
            </xdr:grpSpPr>
            <xdr:sp macro="" textlink="">
              <xdr:nvSpPr>
                <xdr:cNvPr id="66" name="Rectangle 65"/>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67" name="Connecteur droit 66"/>
                <xdr:cNvCxnSpPr/>
              </xdr:nvCxnSpPr>
              <xdr:spPr>
                <a:xfrm>
                  <a:off x="2619375"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8" name="Connecteur droit 67"/>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9" name="Connecteur droit 68"/>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0" name="Connecteur droit 69"/>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grpSp>
          <xdr:nvGrpSpPr>
            <xdr:cNvPr id="74" name="Groupe 73"/>
            <xdr:cNvGrpSpPr/>
          </xdr:nvGrpSpPr>
          <xdr:grpSpPr>
            <a:xfrm>
              <a:off x="257175" y="17093294"/>
              <a:ext cx="371476" cy="179614"/>
              <a:chOff x="2524124" y="838200"/>
              <a:chExt cx="628651" cy="209550"/>
            </a:xfrm>
          </xdr:grpSpPr>
          <xdr:sp macro="" textlink="">
            <xdr:nvSpPr>
              <xdr:cNvPr id="75" name="Rectangle 74"/>
              <xdr:cNvSpPr/>
            </xdr:nvSpPr>
            <xdr:spPr>
              <a:xfrm>
                <a:off x="2524125" y="853168"/>
                <a:ext cx="371476" cy="175532"/>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76" name="Connecteur droit 75"/>
              <xdr:cNvCxnSpPr/>
            </xdr:nvCxnSpPr>
            <xdr:spPr>
              <a:xfrm>
                <a:off x="265788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7" name="Connecteur droit 76"/>
              <xdr:cNvCxnSpPr/>
            </xdr:nvCxnSpPr>
            <xdr:spPr>
              <a:xfrm>
                <a:off x="277826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79" name="Rectangle 78"/>
            <xdr:cNvSpPr/>
          </xdr:nvSpPr>
          <xdr:spPr>
            <a:xfrm>
              <a:off x="1095375" y="17468851"/>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81" name="Connecteur droit avec flèche 80"/>
            <xdr:cNvCxnSpPr/>
          </xdr:nvCxnSpPr>
          <xdr:spPr>
            <a:xfrm flipH="1" flipV="1">
              <a:off x="1152525" y="17316451"/>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 name="Groupe 1"/>
          <xdr:cNvGrpSpPr/>
        </xdr:nvGrpSpPr>
        <xdr:grpSpPr>
          <a:xfrm>
            <a:off x="10687050" y="17695376"/>
            <a:ext cx="276225" cy="141634"/>
            <a:chOff x="4210050" y="1416579"/>
            <a:chExt cx="314325" cy="180976"/>
          </a:xfrm>
        </xdr:grpSpPr>
        <xdr:sp macro="" textlink="">
          <xdr:nvSpPr>
            <xdr:cNvPr id="174" name="Rectangle 173"/>
            <xdr:cNvSpPr/>
          </xdr:nvSpPr>
          <xdr:spPr>
            <a:xfrm>
              <a:off x="4210050" y="1416579"/>
              <a:ext cx="314325" cy="180976"/>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77" name="Connecteur droit 176"/>
            <xdr:cNvCxnSpPr/>
          </xdr:nvCxnSpPr>
          <xdr:spPr>
            <a:xfrm flipH="1">
              <a:off x="4305300" y="1419225"/>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4625973</xdr:colOff>
      <xdr:row>72</xdr:row>
      <xdr:rowOff>95250</xdr:rowOff>
    </xdr:from>
    <xdr:to>
      <xdr:col>7</xdr:col>
      <xdr:colOff>82547</xdr:colOff>
      <xdr:row>79</xdr:row>
      <xdr:rowOff>28575</xdr:rowOff>
    </xdr:to>
    <xdr:grpSp>
      <xdr:nvGrpSpPr>
        <xdr:cNvPr id="253" name="Groupe 252"/>
        <xdr:cNvGrpSpPr/>
      </xdr:nvGrpSpPr>
      <xdr:grpSpPr>
        <a:xfrm>
          <a:off x="11797738" y="14449985"/>
          <a:ext cx="1373280" cy="997884"/>
          <a:chOff x="10515600" y="11591925"/>
          <a:chExt cx="1371599" cy="828675"/>
        </a:xfrm>
      </xdr:grpSpPr>
      <xdr:grpSp>
        <xdr:nvGrpSpPr>
          <xdr:cNvPr id="3" name="Groupe 2"/>
          <xdr:cNvGrpSpPr/>
        </xdr:nvGrpSpPr>
        <xdr:grpSpPr>
          <a:xfrm>
            <a:off x="10515600" y="11591925"/>
            <a:ext cx="1371599" cy="828675"/>
            <a:chOff x="28573" y="5705475"/>
            <a:chExt cx="1990728" cy="1095376"/>
          </a:xfrm>
        </xdr:grpSpPr>
        <xdr:grpSp>
          <xdr:nvGrpSpPr>
            <xdr:cNvPr id="43" name="Groupe 42"/>
            <xdr:cNvGrpSpPr/>
          </xdr:nvGrpSpPr>
          <xdr:grpSpPr>
            <a:xfrm>
              <a:off x="342901" y="5705475"/>
              <a:ext cx="1676400" cy="1095376"/>
              <a:chOff x="4562476" y="685799"/>
              <a:chExt cx="1676400" cy="1095376"/>
            </a:xfrm>
          </xdr:grpSpPr>
          <xdr:grpSp>
            <xdr:nvGrpSpPr>
              <xdr:cNvPr id="44" name="Groupe 43"/>
              <xdr:cNvGrpSpPr/>
            </xdr:nvGrpSpPr>
            <xdr:grpSpPr>
              <a:xfrm>
                <a:off x="4562476" y="685799"/>
                <a:ext cx="1676400" cy="1095376"/>
                <a:chOff x="4562476" y="685799"/>
                <a:chExt cx="1676400" cy="1095376"/>
              </a:xfrm>
            </xdr:grpSpPr>
            <xdr:sp macro="" textlink="">
              <xdr:nvSpPr>
                <xdr:cNvPr id="51" name="Rectangle 50"/>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2" name="Rectangle 51"/>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3" name="ZoneTexte 52"/>
                <xdr:cNvSpPr txBox="1"/>
              </xdr:nvSpPr>
              <xdr:spPr>
                <a:xfrm>
                  <a:off x="4572000" y="800100"/>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aseline="30000"/>
                    <a:t>DsD</a:t>
                  </a:r>
                </a:p>
              </xdr:txBody>
            </xdr:sp>
          </xdr:grpSp>
          <xdr:grpSp>
            <xdr:nvGrpSpPr>
              <xdr:cNvPr id="45" name="Groupe 44"/>
              <xdr:cNvGrpSpPr/>
            </xdr:nvGrpSpPr>
            <xdr:grpSpPr>
              <a:xfrm>
                <a:off x="5410199" y="828675"/>
                <a:ext cx="628651" cy="209550"/>
                <a:chOff x="2524124" y="600075"/>
                <a:chExt cx="447675" cy="133350"/>
              </a:xfrm>
            </xdr:grpSpPr>
            <xdr:sp macro="" textlink="">
              <xdr:nvSpPr>
                <xdr:cNvPr id="46" name="Rectangle 45"/>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47" name="Connecteur droit 46"/>
                <xdr:cNvCxnSpPr/>
              </xdr:nvCxnSpPr>
              <xdr:spPr>
                <a:xfrm>
                  <a:off x="2619375"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8" name="Connecteur droit 47"/>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9" name="Connecteur droit 48"/>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0" name="Connecteur droit 49"/>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grpSp>
          <xdr:nvGrpSpPr>
            <xdr:cNvPr id="54" name="Groupe 53"/>
            <xdr:cNvGrpSpPr/>
          </xdr:nvGrpSpPr>
          <xdr:grpSpPr>
            <a:xfrm>
              <a:off x="114300" y="5872844"/>
              <a:ext cx="371476" cy="179614"/>
              <a:chOff x="2524124" y="838200"/>
              <a:chExt cx="628651" cy="209550"/>
            </a:xfrm>
          </xdr:grpSpPr>
          <xdr:sp macro="" textlink="">
            <xdr:nvSpPr>
              <xdr:cNvPr id="55" name="Rectangle 54"/>
              <xdr:cNvSpPr/>
            </xdr:nvSpPr>
            <xdr:spPr>
              <a:xfrm>
                <a:off x="2524125" y="853168"/>
                <a:ext cx="371476" cy="175532"/>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56" name="Connecteur droit 55"/>
              <xdr:cNvCxnSpPr/>
            </xdr:nvCxnSpPr>
            <xdr:spPr>
              <a:xfrm>
                <a:off x="265788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7" name="Connecteur droit 56"/>
              <xdr:cNvCxnSpPr/>
            </xdr:nvCxnSpPr>
            <xdr:spPr>
              <a:xfrm>
                <a:off x="277826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58" name="Flèche gauche 57"/>
            <xdr:cNvSpPr/>
          </xdr:nvSpPr>
          <xdr:spPr>
            <a:xfrm rot="10800000">
              <a:off x="28573" y="5925117"/>
              <a:ext cx="428626" cy="62592"/>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grpSp>
        <xdr:nvGrpSpPr>
          <xdr:cNvPr id="178" name="Groupe 177"/>
          <xdr:cNvGrpSpPr/>
        </xdr:nvGrpSpPr>
        <xdr:grpSpPr>
          <a:xfrm>
            <a:off x="10734675" y="11877676"/>
            <a:ext cx="276225" cy="149088"/>
            <a:chOff x="4210050" y="1431396"/>
            <a:chExt cx="314325" cy="190500"/>
          </a:xfrm>
        </xdr:grpSpPr>
        <xdr:sp macro="" textlink="">
          <xdr:nvSpPr>
            <xdr:cNvPr id="179" name="Rectangle 178"/>
            <xdr:cNvSpPr/>
          </xdr:nvSpPr>
          <xdr:spPr>
            <a:xfrm>
              <a:off x="4210050" y="1440920"/>
              <a:ext cx="314325" cy="180976"/>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80" name="Connecteur droit 179"/>
            <xdr:cNvCxnSpPr/>
          </xdr:nvCxnSpPr>
          <xdr:spPr>
            <a:xfrm flipH="1">
              <a:off x="4305301" y="1431396"/>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4856689</xdr:colOff>
      <xdr:row>58</xdr:row>
      <xdr:rowOff>9525</xdr:rowOff>
    </xdr:from>
    <xdr:to>
      <xdr:col>7</xdr:col>
      <xdr:colOff>94189</xdr:colOff>
      <xdr:row>64</xdr:row>
      <xdr:rowOff>148166</xdr:rowOff>
    </xdr:to>
    <xdr:grpSp>
      <xdr:nvGrpSpPr>
        <xdr:cNvPr id="254" name="Groupe 253"/>
        <xdr:cNvGrpSpPr/>
      </xdr:nvGrpSpPr>
      <xdr:grpSpPr>
        <a:xfrm>
          <a:off x="12028454" y="12078260"/>
          <a:ext cx="1154206" cy="1091141"/>
          <a:chOff x="10696575" y="9372600"/>
          <a:chExt cx="1152525" cy="857249"/>
        </a:xfrm>
      </xdr:grpSpPr>
      <xdr:grpSp>
        <xdr:nvGrpSpPr>
          <xdr:cNvPr id="31" name="Groupe 30"/>
          <xdr:cNvGrpSpPr/>
        </xdr:nvGrpSpPr>
        <xdr:grpSpPr>
          <a:xfrm>
            <a:off x="10696576" y="9372600"/>
            <a:ext cx="1152524" cy="857249"/>
            <a:chOff x="4562476" y="685799"/>
            <a:chExt cx="1676400" cy="1095376"/>
          </a:xfrm>
        </xdr:grpSpPr>
        <xdr:grpSp>
          <xdr:nvGrpSpPr>
            <xdr:cNvPr id="32" name="Groupe 31"/>
            <xdr:cNvGrpSpPr/>
          </xdr:nvGrpSpPr>
          <xdr:grpSpPr>
            <a:xfrm>
              <a:off x="4562476" y="685799"/>
              <a:ext cx="1676400" cy="1095376"/>
              <a:chOff x="4562476" y="685799"/>
              <a:chExt cx="1676400" cy="1095376"/>
            </a:xfrm>
          </xdr:grpSpPr>
          <xdr:sp macro="" textlink="">
            <xdr:nvSpPr>
              <xdr:cNvPr id="40" name="Rectangle 39"/>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41" name="Rectangle 40"/>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42" name="ZoneTexte 41"/>
              <xdr:cNvSpPr txBox="1"/>
            </xdr:nvSpPr>
            <xdr:spPr>
              <a:xfrm>
                <a:off x="4572000" y="800100"/>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aseline="30000"/>
                  <a:t>Ds</a:t>
                </a:r>
              </a:p>
            </xdr:txBody>
          </xdr:sp>
        </xdr:grpSp>
        <xdr:grpSp>
          <xdr:nvGrpSpPr>
            <xdr:cNvPr id="33" name="Groupe 32"/>
            <xdr:cNvGrpSpPr/>
          </xdr:nvGrpSpPr>
          <xdr:grpSpPr>
            <a:xfrm>
              <a:off x="5410199" y="828675"/>
              <a:ext cx="628651" cy="209550"/>
              <a:chOff x="2524124" y="600075"/>
              <a:chExt cx="447675" cy="133350"/>
            </a:xfrm>
          </xdr:grpSpPr>
          <xdr:sp macro="" textlink="">
            <xdr:nvSpPr>
              <xdr:cNvPr id="35" name="Rectangle 34"/>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36" name="Connecteur droit 35"/>
              <xdr:cNvCxnSpPr/>
            </xdr:nvCxnSpPr>
            <xdr:spPr>
              <a:xfrm>
                <a:off x="2619375"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7" name="Connecteur droit 36"/>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8" name="Connecteur droit 37"/>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9" name="Connecteur droit 38"/>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34" name="Flèche gauche 33"/>
            <xdr:cNvSpPr/>
          </xdr:nvSpPr>
          <xdr:spPr>
            <a:xfrm>
              <a:off x="5286375" y="895350"/>
              <a:ext cx="838200" cy="66675"/>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grpSp>
        <xdr:nvGrpSpPr>
          <xdr:cNvPr id="184" name="Groupe 183"/>
          <xdr:cNvGrpSpPr/>
        </xdr:nvGrpSpPr>
        <xdr:grpSpPr>
          <a:xfrm>
            <a:off x="10696575" y="9677400"/>
            <a:ext cx="276225" cy="149088"/>
            <a:chOff x="4210050" y="1419225"/>
            <a:chExt cx="314325" cy="190500"/>
          </a:xfrm>
        </xdr:grpSpPr>
        <xdr:sp macro="" textlink="">
          <xdr:nvSpPr>
            <xdr:cNvPr id="185" name="Rectangle 184"/>
            <xdr:cNvSpPr/>
          </xdr:nvSpPr>
          <xdr:spPr>
            <a:xfrm>
              <a:off x="4210050" y="1428750"/>
              <a:ext cx="314325" cy="180975"/>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86" name="Connecteur droit 185"/>
            <xdr:cNvCxnSpPr/>
          </xdr:nvCxnSpPr>
          <xdr:spPr>
            <a:xfrm flipH="1">
              <a:off x="4305300" y="1419225"/>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4606926</xdr:colOff>
      <xdr:row>127</xdr:row>
      <xdr:rowOff>28574</xdr:rowOff>
    </xdr:from>
    <xdr:to>
      <xdr:col>7</xdr:col>
      <xdr:colOff>73026</xdr:colOff>
      <xdr:row>130</xdr:row>
      <xdr:rowOff>123824</xdr:rowOff>
    </xdr:to>
    <xdr:grpSp>
      <xdr:nvGrpSpPr>
        <xdr:cNvPr id="250" name="Groupe 249"/>
        <xdr:cNvGrpSpPr/>
      </xdr:nvGrpSpPr>
      <xdr:grpSpPr>
        <a:xfrm>
          <a:off x="11778691" y="24154839"/>
          <a:ext cx="1382806" cy="1058956"/>
          <a:chOff x="10487025" y="20316825"/>
          <a:chExt cx="1381125" cy="857250"/>
        </a:xfrm>
      </xdr:grpSpPr>
      <xdr:grpSp>
        <xdr:nvGrpSpPr>
          <xdr:cNvPr id="59" name="Groupe 58"/>
          <xdr:cNvGrpSpPr/>
        </xdr:nvGrpSpPr>
        <xdr:grpSpPr>
          <a:xfrm>
            <a:off x="10487025" y="20316825"/>
            <a:ext cx="1381125" cy="857250"/>
            <a:chOff x="4171950" y="20659725"/>
            <a:chExt cx="1962151" cy="1095376"/>
          </a:xfrm>
        </xdr:grpSpPr>
        <xdr:grpSp>
          <xdr:nvGrpSpPr>
            <xdr:cNvPr id="83" name="Groupe 82"/>
            <xdr:cNvGrpSpPr/>
          </xdr:nvGrpSpPr>
          <xdr:grpSpPr>
            <a:xfrm>
              <a:off x="4457701" y="20659725"/>
              <a:ext cx="1676400" cy="1095376"/>
              <a:chOff x="4562476" y="685799"/>
              <a:chExt cx="1676400" cy="1095376"/>
            </a:xfrm>
          </xdr:grpSpPr>
          <xdr:grpSp>
            <xdr:nvGrpSpPr>
              <xdr:cNvPr id="84" name="Groupe 83"/>
              <xdr:cNvGrpSpPr/>
            </xdr:nvGrpSpPr>
            <xdr:grpSpPr>
              <a:xfrm>
                <a:off x="4562476" y="685799"/>
                <a:ext cx="1676400" cy="1095376"/>
                <a:chOff x="4562476" y="685799"/>
                <a:chExt cx="1676400" cy="1095376"/>
              </a:xfrm>
            </xdr:grpSpPr>
            <xdr:sp macro="" textlink="">
              <xdr:nvSpPr>
                <xdr:cNvPr id="91" name="Rectangle 90"/>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92" name="Rectangle 91"/>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93" name="ZoneTexte 92"/>
                <xdr:cNvSpPr txBox="1"/>
              </xdr:nvSpPr>
              <xdr:spPr>
                <a:xfrm>
                  <a:off x="4572000" y="800100"/>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aseline="30000"/>
                    <a:t>DtEm</a:t>
                  </a:r>
                </a:p>
                <a:p>
                  <a:pPr algn="ctr"/>
                  <a:endParaRPr lang="fr-FR" sz="1000" baseline="30000"/>
                </a:p>
              </xdr:txBody>
            </xdr:sp>
          </xdr:grpSp>
          <xdr:grpSp>
            <xdr:nvGrpSpPr>
              <xdr:cNvPr id="85" name="Groupe 84"/>
              <xdr:cNvGrpSpPr/>
            </xdr:nvGrpSpPr>
            <xdr:grpSpPr>
              <a:xfrm>
                <a:off x="5410199" y="828675"/>
                <a:ext cx="628651" cy="209550"/>
                <a:chOff x="2524124" y="600075"/>
                <a:chExt cx="447675" cy="133350"/>
              </a:xfrm>
            </xdr:grpSpPr>
            <xdr:sp macro="" textlink="">
              <xdr:nvSpPr>
                <xdr:cNvPr id="86" name="Rectangle 85"/>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87" name="Connecteur droit 86"/>
                <xdr:cNvCxnSpPr/>
              </xdr:nvCxnSpPr>
              <xdr:spPr>
                <a:xfrm>
                  <a:off x="2619375"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8" name="Connecteur droit 87"/>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9" name="Connecteur droit 88"/>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0" name="Connecteur droit 89"/>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sp macro="" textlink="">
          <xdr:nvSpPr>
            <xdr:cNvPr id="94" name="Flèche gauche 93"/>
            <xdr:cNvSpPr/>
          </xdr:nvSpPr>
          <xdr:spPr>
            <a:xfrm>
              <a:off x="5200650" y="20859751"/>
              <a:ext cx="838200" cy="66675"/>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nvGrpSpPr>
            <xdr:cNvPr id="95" name="Groupe 94"/>
            <xdr:cNvGrpSpPr/>
          </xdr:nvGrpSpPr>
          <xdr:grpSpPr>
            <a:xfrm>
              <a:off x="4229100" y="20827094"/>
              <a:ext cx="371476" cy="179614"/>
              <a:chOff x="2524124" y="838200"/>
              <a:chExt cx="628651" cy="209550"/>
            </a:xfrm>
          </xdr:grpSpPr>
          <xdr:sp macro="" textlink="">
            <xdr:nvSpPr>
              <xdr:cNvPr id="96" name="Rectangle 95"/>
              <xdr:cNvSpPr/>
            </xdr:nvSpPr>
            <xdr:spPr>
              <a:xfrm>
                <a:off x="2524125" y="853168"/>
                <a:ext cx="371476" cy="175532"/>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97" name="Connecteur droit 96"/>
              <xdr:cNvCxnSpPr/>
            </xdr:nvCxnSpPr>
            <xdr:spPr>
              <a:xfrm>
                <a:off x="265788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8" name="Connecteur droit 97"/>
              <xdr:cNvCxnSpPr/>
            </xdr:nvCxnSpPr>
            <xdr:spPr>
              <a:xfrm>
                <a:off x="277826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99" name="Rectangle 98"/>
            <xdr:cNvSpPr/>
          </xdr:nvSpPr>
          <xdr:spPr>
            <a:xfrm>
              <a:off x="4591050" y="21202651"/>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00" name="Rectangle 99"/>
            <xdr:cNvSpPr/>
          </xdr:nvSpPr>
          <xdr:spPr>
            <a:xfrm>
              <a:off x="5067300" y="21202651"/>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01" name="Connecteur droit avec flèche 100"/>
            <xdr:cNvCxnSpPr/>
          </xdr:nvCxnSpPr>
          <xdr:spPr>
            <a:xfrm flipH="1" flipV="1">
              <a:off x="4638675" y="21050251"/>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2" name="Connecteur droit avec flèche 101"/>
            <xdr:cNvCxnSpPr/>
          </xdr:nvCxnSpPr>
          <xdr:spPr>
            <a:xfrm flipH="1" flipV="1">
              <a:off x="5124450" y="21050251"/>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3" name="Flèche gauche 102"/>
            <xdr:cNvSpPr/>
          </xdr:nvSpPr>
          <xdr:spPr>
            <a:xfrm rot="10800000">
              <a:off x="4171950" y="20869276"/>
              <a:ext cx="428625" cy="76200"/>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grpSp>
        <xdr:nvGrpSpPr>
          <xdr:cNvPr id="187" name="Groupe 186"/>
          <xdr:cNvGrpSpPr/>
        </xdr:nvGrpSpPr>
        <xdr:grpSpPr>
          <a:xfrm>
            <a:off x="10696575" y="20629077"/>
            <a:ext cx="276225" cy="141634"/>
            <a:chOff x="4188372" y="1440920"/>
            <a:chExt cx="314325" cy="180976"/>
          </a:xfrm>
        </xdr:grpSpPr>
        <xdr:sp macro="" textlink="">
          <xdr:nvSpPr>
            <xdr:cNvPr id="212" name="Rectangle 211"/>
            <xdr:cNvSpPr/>
          </xdr:nvSpPr>
          <xdr:spPr>
            <a:xfrm>
              <a:off x="4188372" y="1440920"/>
              <a:ext cx="314325" cy="180976"/>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214" name="Connecteur droit 213"/>
            <xdr:cNvCxnSpPr/>
          </xdr:nvCxnSpPr>
          <xdr:spPr>
            <a:xfrm flipH="1">
              <a:off x="4305300" y="1443567"/>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4622802</xdr:colOff>
      <xdr:row>119</xdr:row>
      <xdr:rowOff>133352</xdr:rowOff>
    </xdr:from>
    <xdr:to>
      <xdr:col>7</xdr:col>
      <xdr:colOff>79377</xdr:colOff>
      <xdr:row>124</xdr:row>
      <xdr:rowOff>74085</xdr:rowOff>
    </xdr:to>
    <xdr:grpSp>
      <xdr:nvGrpSpPr>
        <xdr:cNvPr id="251" name="Groupe 250"/>
        <xdr:cNvGrpSpPr/>
      </xdr:nvGrpSpPr>
      <xdr:grpSpPr>
        <a:xfrm>
          <a:off x="11794567" y="22679587"/>
          <a:ext cx="1373281" cy="1083733"/>
          <a:chOff x="10534650" y="19259550"/>
          <a:chExt cx="1323975" cy="857250"/>
        </a:xfrm>
      </xdr:grpSpPr>
      <xdr:grpSp>
        <xdr:nvGrpSpPr>
          <xdr:cNvPr id="215" name="Groupe 214"/>
          <xdr:cNvGrpSpPr/>
        </xdr:nvGrpSpPr>
        <xdr:grpSpPr>
          <a:xfrm>
            <a:off x="10534650" y="19259550"/>
            <a:ext cx="1323975" cy="857250"/>
            <a:chOff x="257175" y="16925925"/>
            <a:chExt cx="1905001" cy="1095376"/>
          </a:xfrm>
        </xdr:grpSpPr>
        <xdr:grpSp>
          <xdr:nvGrpSpPr>
            <xdr:cNvPr id="216" name="Groupe 215"/>
            <xdr:cNvGrpSpPr/>
          </xdr:nvGrpSpPr>
          <xdr:grpSpPr>
            <a:xfrm>
              <a:off x="485776" y="16925925"/>
              <a:ext cx="1676400" cy="1095376"/>
              <a:chOff x="4562476" y="685799"/>
              <a:chExt cx="1676400" cy="1095376"/>
            </a:xfrm>
          </xdr:grpSpPr>
          <xdr:grpSp>
            <xdr:nvGrpSpPr>
              <xdr:cNvPr id="225" name="Groupe 224"/>
              <xdr:cNvGrpSpPr/>
            </xdr:nvGrpSpPr>
            <xdr:grpSpPr>
              <a:xfrm>
                <a:off x="4562476" y="685799"/>
                <a:ext cx="1676400" cy="1095376"/>
                <a:chOff x="4562476" y="685799"/>
                <a:chExt cx="1676400" cy="1095376"/>
              </a:xfrm>
            </xdr:grpSpPr>
            <xdr:sp macro="" textlink="">
              <xdr:nvSpPr>
                <xdr:cNvPr id="232" name="Rectangle 231"/>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33" name="Rectangle 232"/>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34" name="ZoneTexte 233"/>
                <xdr:cNvSpPr txBox="1"/>
              </xdr:nvSpPr>
              <xdr:spPr>
                <a:xfrm>
                  <a:off x="4572000" y="800100"/>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aseline="30000"/>
                    <a:t>Dea</a:t>
                  </a:r>
                </a:p>
              </xdr:txBody>
            </xdr:sp>
          </xdr:grpSp>
          <xdr:grpSp>
            <xdr:nvGrpSpPr>
              <xdr:cNvPr id="226" name="Groupe 225"/>
              <xdr:cNvGrpSpPr/>
            </xdr:nvGrpSpPr>
            <xdr:grpSpPr>
              <a:xfrm>
                <a:off x="5410199" y="828675"/>
                <a:ext cx="628651" cy="209550"/>
                <a:chOff x="2524124" y="600075"/>
                <a:chExt cx="447675" cy="133350"/>
              </a:xfrm>
            </xdr:grpSpPr>
            <xdr:sp macro="" textlink="">
              <xdr:nvSpPr>
                <xdr:cNvPr id="227" name="Rectangle 226"/>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228" name="Connecteur droit 227"/>
                <xdr:cNvCxnSpPr/>
              </xdr:nvCxnSpPr>
              <xdr:spPr>
                <a:xfrm>
                  <a:off x="2619375"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29" name="Connecteur droit 228"/>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30" name="Connecteur droit 229"/>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31" name="Connecteur droit 230"/>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grpSp>
          <xdr:nvGrpSpPr>
            <xdr:cNvPr id="217" name="Groupe 216"/>
            <xdr:cNvGrpSpPr/>
          </xdr:nvGrpSpPr>
          <xdr:grpSpPr>
            <a:xfrm>
              <a:off x="257175" y="17093294"/>
              <a:ext cx="371476" cy="179614"/>
              <a:chOff x="2524124" y="838200"/>
              <a:chExt cx="628651" cy="209550"/>
            </a:xfrm>
          </xdr:grpSpPr>
          <xdr:sp macro="" textlink="">
            <xdr:nvSpPr>
              <xdr:cNvPr id="222" name="Rectangle 221"/>
              <xdr:cNvSpPr/>
            </xdr:nvSpPr>
            <xdr:spPr>
              <a:xfrm>
                <a:off x="2524125" y="853168"/>
                <a:ext cx="371476" cy="175532"/>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223" name="Connecteur droit 222"/>
              <xdr:cNvCxnSpPr/>
            </xdr:nvCxnSpPr>
            <xdr:spPr>
              <a:xfrm>
                <a:off x="265788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24" name="Connecteur droit 223"/>
              <xdr:cNvCxnSpPr/>
            </xdr:nvCxnSpPr>
            <xdr:spPr>
              <a:xfrm>
                <a:off x="277826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218" name="Rectangle 217"/>
            <xdr:cNvSpPr/>
          </xdr:nvSpPr>
          <xdr:spPr>
            <a:xfrm>
              <a:off x="619125" y="17468851"/>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19" name="Rectangle 218"/>
            <xdr:cNvSpPr/>
          </xdr:nvSpPr>
          <xdr:spPr>
            <a:xfrm>
              <a:off x="1095375" y="17468851"/>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220" name="Connecteur droit avec flèche 219"/>
            <xdr:cNvCxnSpPr/>
          </xdr:nvCxnSpPr>
          <xdr:spPr>
            <a:xfrm flipH="1" flipV="1">
              <a:off x="666750" y="17316451"/>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35" name="Groupe 234"/>
          <xdr:cNvGrpSpPr/>
        </xdr:nvGrpSpPr>
        <xdr:grpSpPr>
          <a:xfrm>
            <a:off x="10696575" y="19572494"/>
            <a:ext cx="276225" cy="141634"/>
            <a:chOff x="4210050" y="1417457"/>
            <a:chExt cx="314325" cy="180975"/>
          </a:xfrm>
        </xdr:grpSpPr>
        <xdr:sp macro="" textlink="">
          <xdr:nvSpPr>
            <xdr:cNvPr id="236" name="Rectangle 235"/>
            <xdr:cNvSpPr/>
          </xdr:nvSpPr>
          <xdr:spPr>
            <a:xfrm>
              <a:off x="4210050" y="1417457"/>
              <a:ext cx="314325" cy="180975"/>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237" name="Connecteur droit 236"/>
            <xdr:cNvCxnSpPr/>
          </xdr:nvCxnSpPr>
          <xdr:spPr>
            <a:xfrm flipH="1">
              <a:off x="4305300" y="1419225"/>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4652431</xdr:colOff>
      <xdr:row>155</xdr:row>
      <xdr:rowOff>42306</xdr:rowOff>
    </xdr:from>
    <xdr:to>
      <xdr:col>7</xdr:col>
      <xdr:colOff>84663</xdr:colOff>
      <xdr:row>160</xdr:row>
      <xdr:rowOff>95252</xdr:rowOff>
    </xdr:to>
    <xdr:grpSp>
      <xdr:nvGrpSpPr>
        <xdr:cNvPr id="248" name="Groupe 247"/>
        <xdr:cNvGrpSpPr/>
      </xdr:nvGrpSpPr>
      <xdr:grpSpPr>
        <a:xfrm>
          <a:off x="11824196" y="32259218"/>
          <a:ext cx="1348938" cy="1240769"/>
          <a:chOff x="10553700" y="26660475"/>
          <a:chExt cx="1314450" cy="1133475"/>
        </a:xfrm>
      </xdr:grpSpPr>
      <xdr:grpSp>
        <xdr:nvGrpSpPr>
          <xdr:cNvPr id="1029" name="Groupe 1028"/>
          <xdr:cNvGrpSpPr/>
        </xdr:nvGrpSpPr>
        <xdr:grpSpPr>
          <a:xfrm>
            <a:off x="10553700" y="26660475"/>
            <a:ext cx="1314450" cy="1133475"/>
            <a:chOff x="10220325" y="24879300"/>
            <a:chExt cx="1905001" cy="1447800"/>
          </a:xfrm>
        </xdr:grpSpPr>
        <xdr:grpSp>
          <xdr:nvGrpSpPr>
            <xdr:cNvPr id="154" name="Groupe 153"/>
            <xdr:cNvGrpSpPr/>
          </xdr:nvGrpSpPr>
          <xdr:grpSpPr>
            <a:xfrm>
              <a:off x="10448926" y="25231724"/>
              <a:ext cx="1676400" cy="1095376"/>
              <a:chOff x="4562476" y="685799"/>
              <a:chExt cx="1676400" cy="1095376"/>
            </a:xfrm>
          </xdr:grpSpPr>
          <xdr:grpSp>
            <xdr:nvGrpSpPr>
              <xdr:cNvPr id="155" name="Groupe 154"/>
              <xdr:cNvGrpSpPr/>
            </xdr:nvGrpSpPr>
            <xdr:grpSpPr>
              <a:xfrm>
                <a:off x="4562476" y="685799"/>
                <a:ext cx="1676400" cy="1095376"/>
                <a:chOff x="4562476" y="685799"/>
                <a:chExt cx="1676400" cy="1095376"/>
              </a:xfrm>
            </xdr:grpSpPr>
            <xdr:sp macro="" textlink="">
              <xdr:nvSpPr>
                <xdr:cNvPr id="162" name="Rectangle 161"/>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63" name="Rectangle 162"/>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64" name="ZoneTexte 163"/>
                <xdr:cNvSpPr txBox="1"/>
              </xdr:nvSpPr>
              <xdr:spPr>
                <a:xfrm>
                  <a:off x="4572000" y="800100"/>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aseline="30000"/>
                    <a:t>Dext</a:t>
                  </a:r>
                </a:p>
                <a:p>
                  <a:pPr algn="ctr"/>
                  <a:endParaRPr lang="fr-FR" sz="1000" baseline="30000"/>
                </a:p>
              </xdr:txBody>
            </xdr:sp>
          </xdr:grpSp>
          <xdr:grpSp>
            <xdr:nvGrpSpPr>
              <xdr:cNvPr id="156" name="Groupe 155"/>
              <xdr:cNvGrpSpPr/>
            </xdr:nvGrpSpPr>
            <xdr:grpSpPr>
              <a:xfrm>
                <a:off x="5410199" y="828675"/>
                <a:ext cx="628651" cy="209550"/>
                <a:chOff x="2524124" y="600075"/>
                <a:chExt cx="447675" cy="133350"/>
              </a:xfrm>
            </xdr:grpSpPr>
            <xdr:sp macro="" textlink="">
              <xdr:nvSpPr>
                <xdr:cNvPr id="157" name="Rectangle 156"/>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58" name="Connecteur droit 157"/>
                <xdr:cNvCxnSpPr/>
              </xdr:nvCxnSpPr>
              <xdr:spPr>
                <a:xfrm>
                  <a:off x="2619375"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9" name="Connecteur droit 158"/>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0" name="Connecteur droit 159"/>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1" name="Connecteur droit 160"/>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grpSp>
          <xdr:nvGrpSpPr>
            <xdr:cNvPr id="165" name="Groupe 164"/>
            <xdr:cNvGrpSpPr/>
          </xdr:nvGrpSpPr>
          <xdr:grpSpPr>
            <a:xfrm>
              <a:off x="10220325" y="25399093"/>
              <a:ext cx="371476" cy="179614"/>
              <a:chOff x="2524124" y="838200"/>
              <a:chExt cx="628651" cy="209550"/>
            </a:xfrm>
          </xdr:grpSpPr>
          <xdr:sp macro="" textlink="">
            <xdr:nvSpPr>
              <xdr:cNvPr id="166" name="Rectangle 165"/>
              <xdr:cNvSpPr/>
            </xdr:nvSpPr>
            <xdr:spPr>
              <a:xfrm>
                <a:off x="2524125" y="853168"/>
                <a:ext cx="371476" cy="175532"/>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67" name="Connecteur droit 166"/>
              <xdr:cNvCxnSpPr/>
            </xdr:nvCxnSpPr>
            <xdr:spPr>
              <a:xfrm>
                <a:off x="265788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8" name="Connecteur droit 167"/>
              <xdr:cNvCxnSpPr/>
            </xdr:nvCxnSpPr>
            <xdr:spPr>
              <a:xfrm>
                <a:off x="277826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169" name="Rectangle 168"/>
            <xdr:cNvSpPr/>
          </xdr:nvSpPr>
          <xdr:spPr>
            <a:xfrm>
              <a:off x="10582275" y="25774650"/>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70" name="Rectangle 169"/>
            <xdr:cNvSpPr/>
          </xdr:nvSpPr>
          <xdr:spPr>
            <a:xfrm>
              <a:off x="11058525" y="25774650"/>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71" name="Rectangle 170"/>
            <xdr:cNvSpPr/>
          </xdr:nvSpPr>
          <xdr:spPr>
            <a:xfrm>
              <a:off x="10772774" y="25031700"/>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73" name="Rectangle 172"/>
            <xdr:cNvSpPr/>
          </xdr:nvSpPr>
          <xdr:spPr>
            <a:xfrm>
              <a:off x="10601325" y="2504122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75" name="Connecteur droit avec flèche 174"/>
            <xdr:cNvCxnSpPr/>
          </xdr:nvCxnSpPr>
          <xdr:spPr>
            <a:xfrm flipH="1" flipV="1">
              <a:off x="10820400" y="24879300"/>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6" name="Connecteur droit avec flèche 175"/>
            <xdr:cNvCxnSpPr/>
          </xdr:nvCxnSpPr>
          <xdr:spPr>
            <a:xfrm flipH="1" flipV="1">
              <a:off x="10639425" y="24879300"/>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41" name="Groupe 240"/>
          <xdr:cNvGrpSpPr/>
        </xdr:nvGrpSpPr>
        <xdr:grpSpPr>
          <a:xfrm>
            <a:off x="10706100" y="27241500"/>
            <a:ext cx="276225" cy="149088"/>
            <a:chOff x="4210050" y="1419225"/>
            <a:chExt cx="314325" cy="190500"/>
          </a:xfrm>
        </xdr:grpSpPr>
        <xdr:sp macro="" textlink="">
          <xdr:nvSpPr>
            <xdr:cNvPr id="242" name="Rectangle 241"/>
            <xdr:cNvSpPr/>
          </xdr:nvSpPr>
          <xdr:spPr>
            <a:xfrm>
              <a:off x="4210050" y="1428750"/>
              <a:ext cx="314325" cy="180975"/>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243" name="Connecteur droit 242"/>
            <xdr:cNvCxnSpPr/>
          </xdr:nvCxnSpPr>
          <xdr:spPr>
            <a:xfrm flipH="1">
              <a:off x="4305300" y="1419225"/>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4636559</xdr:colOff>
      <xdr:row>143</xdr:row>
      <xdr:rowOff>152400</xdr:rowOff>
    </xdr:from>
    <xdr:to>
      <xdr:col>7</xdr:col>
      <xdr:colOff>83608</xdr:colOff>
      <xdr:row>145</xdr:row>
      <xdr:rowOff>730250</xdr:rowOff>
    </xdr:to>
    <xdr:grpSp>
      <xdr:nvGrpSpPr>
        <xdr:cNvPr id="249" name="Groupe 248"/>
        <xdr:cNvGrpSpPr/>
      </xdr:nvGrpSpPr>
      <xdr:grpSpPr>
        <a:xfrm>
          <a:off x="11808324" y="29747135"/>
          <a:ext cx="1363755" cy="947644"/>
          <a:chOff x="10506075" y="24888825"/>
          <a:chExt cx="1362074" cy="819150"/>
        </a:xfrm>
      </xdr:grpSpPr>
      <xdr:grpSp>
        <xdr:nvGrpSpPr>
          <xdr:cNvPr id="82" name="Groupe 81"/>
          <xdr:cNvGrpSpPr/>
        </xdr:nvGrpSpPr>
        <xdr:grpSpPr>
          <a:xfrm>
            <a:off x="10506075" y="24888825"/>
            <a:ext cx="1362074" cy="819150"/>
            <a:chOff x="5810250" y="7315200"/>
            <a:chExt cx="1962151" cy="1095376"/>
          </a:xfrm>
        </xdr:grpSpPr>
        <xdr:grpSp>
          <xdr:nvGrpSpPr>
            <xdr:cNvPr id="129" name="Groupe 128"/>
            <xdr:cNvGrpSpPr/>
          </xdr:nvGrpSpPr>
          <xdr:grpSpPr>
            <a:xfrm>
              <a:off x="6096001" y="7315200"/>
              <a:ext cx="1676400" cy="1095376"/>
              <a:chOff x="4562476" y="685799"/>
              <a:chExt cx="1676400" cy="1095376"/>
            </a:xfrm>
          </xdr:grpSpPr>
          <xdr:grpSp>
            <xdr:nvGrpSpPr>
              <xdr:cNvPr id="130" name="Groupe 129"/>
              <xdr:cNvGrpSpPr/>
            </xdr:nvGrpSpPr>
            <xdr:grpSpPr>
              <a:xfrm>
                <a:off x="4562476" y="685799"/>
                <a:ext cx="1676400" cy="1095376"/>
                <a:chOff x="4562476" y="685799"/>
                <a:chExt cx="1676400" cy="1095376"/>
              </a:xfrm>
            </xdr:grpSpPr>
            <xdr:sp macro="" textlink="">
              <xdr:nvSpPr>
                <xdr:cNvPr id="137" name="Rectangle 136"/>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38" name="Rectangle 137"/>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39" name="ZoneTexte 138"/>
                <xdr:cNvSpPr txBox="1"/>
              </xdr:nvSpPr>
              <xdr:spPr>
                <a:xfrm>
                  <a:off x="4572000" y="800100"/>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aseline="30000"/>
                    <a:t>Dep</a:t>
                  </a:r>
                </a:p>
              </xdr:txBody>
            </xdr:sp>
          </xdr:grpSp>
          <xdr:grpSp>
            <xdr:nvGrpSpPr>
              <xdr:cNvPr id="131" name="Groupe 130"/>
              <xdr:cNvGrpSpPr/>
            </xdr:nvGrpSpPr>
            <xdr:grpSpPr>
              <a:xfrm>
                <a:off x="5410199" y="828675"/>
                <a:ext cx="628651" cy="209550"/>
                <a:chOff x="2524124" y="600075"/>
                <a:chExt cx="447675" cy="133350"/>
              </a:xfrm>
            </xdr:grpSpPr>
            <xdr:sp macro="" textlink="">
              <xdr:nvSpPr>
                <xdr:cNvPr id="132" name="Rectangle 131"/>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33" name="Connecteur droit 132"/>
                <xdr:cNvCxnSpPr/>
              </xdr:nvCxnSpPr>
              <xdr:spPr>
                <a:xfrm>
                  <a:off x="2619375"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4" name="Connecteur droit 133"/>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5" name="Connecteur droit 134"/>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 name="Connecteur droit 135"/>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sp macro="" textlink="">
          <xdr:nvSpPr>
            <xdr:cNvPr id="140" name="Flèche gauche 139"/>
            <xdr:cNvSpPr/>
          </xdr:nvSpPr>
          <xdr:spPr>
            <a:xfrm>
              <a:off x="6838950" y="7515226"/>
              <a:ext cx="838200" cy="66675"/>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nvGrpSpPr>
            <xdr:cNvPr id="141" name="Groupe 140"/>
            <xdr:cNvGrpSpPr/>
          </xdr:nvGrpSpPr>
          <xdr:grpSpPr>
            <a:xfrm>
              <a:off x="5867400" y="7482569"/>
              <a:ext cx="371476" cy="179614"/>
              <a:chOff x="2524124" y="838200"/>
              <a:chExt cx="628651" cy="209550"/>
            </a:xfrm>
          </xdr:grpSpPr>
          <xdr:sp macro="" textlink="">
            <xdr:nvSpPr>
              <xdr:cNvPr id="142" name="Rectangle 141"/>
              <xdr:cNvSpPr/>
            </xdr:nvSpPr>
            <xdr:spPr>
              <a:xfrm>
                <a:off x="2524125" y="853168"/>
                <a:ext cx="371476" cy="175532"/>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43" name="Connecteur droit 142"/>
              <xdr:cNvCxnSpPr/>
            </xdr:nvCxnSpPr>
            <xdr:spPr>
              <a:xfrm>
                <a:off x="265788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4" name="Connecteur droit 143"/>
              <xdr:cNvCxnSpPr/>
            </xdr:nvCxnSpPr>
            <xdr:spPr>
              <a:xfrm>
                <a:off x="277826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145" name="Rectangle 144"/>
            <xdr:cNvSpPr/>
          </xdr:nvSpPr>
          <xdr:spPr>
            <a:xfrm>
              <a:off x="6229350" y="7858126"/>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46" name="Rectangle 145"/>
            <xdr:cNvSpPr/>
          </xdr:nvSpPr>
          <xdr:spPr>
            <a:xfrm>
              <a:off x="6705600" y="7858126"/>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47" name="Connecteur droit avec flèche 146"/>
            <xdr:cNvCxnSpPr/>
          </xdr:nvCxnSpPr>
          <xdr:spPr>
            <a:xfrm flipH="1" flipV="1">
              <a:off x="6276975" y="7705726"/>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8" name="Connecteur droit avec flèche 147"/>
            <xdr:cNvCxnSpPr/>
          </xdr:nvCxnSpPr>
          <xdr:spPr>
            <a:xfrm flipH="1" flipV="1">
              <a:off x="6762750" y="7705726"/>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9" name="Flèche gauche 148"/>
            <xdr:cNvSpPr/>
          </xdr:nvSpPr>
          <xdr:spPr>
            <a:xfrm rot="10800000">
              <a:off x="5810250" y="7524751"/>
              <a:ext cx="428625" cy="76200"/>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50" name="Connecteur droit avec flèche 149"/>
            <xdr:cNvCxnSpPr/>
          </xdr:nvCxnSpPr>
          <xdr:spPr>
            <a:xfrm flipV="1">
              <a:off x="6124575" y="7781926"/>
              <a:ext cx="28576" cy="209550"/>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1" name="Connecteur droit avec flèche 150"/>
            <xdr:cNvCxnSpPr/>
          </xdr:nvCxnSpPr>
          <xdr:spPr>
            <a:xfrm flipH="1" flipV="1">
              <a:off x="6886576" y="7781926"/>
              <a:ext cx="95249" cy="190500"/>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2" name="Connecteur droit avec flèche 151"/>
            <xdr:cNvCxnSpPr/>
          </xdr:nvCxnSpPr>
          <xdr:spPr>
            <a:xfrm flipH="1">
              <a:off x="6848475" y="7343775"/>
              <a:ext cx="171451" cy="104776"/>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45" name="Groupe 244"/>
          <xdr:cNvGrpSpPr/>
        </xdr:nvGrpSpPr>
        <xdr:grpSpPr>
          <a:xfrm>
            <a:off x="10715625" y="25174576"/>
            <a:ext cx="276225" cy="149088"/>
            <a:chOff x="4199211" y="1431396"/>
            <a:chExt cx="314325" cy="190500"/>
          </a:xfrm>
        </xdr:grpSpPr>
        <xdr:sp macro="" textlink="">
          <xdr:nvSpPr>
            <xdr:cNvPr id="246" name="Rectangle 245"/>
            <xdr:cNvSpPr/>
          </xdr:nvSpPr>
          <xdr:spPr>
            <a:xfrm>
              <a:off x="4199211" y="1440920"/>
              <a:ext cx="314325" cy="180976"/>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247" name="Connecteur droit 246"/>
            <xdr:cNvCxnSpPr/>
          </xdr:nvCxnSpPr>
          <xdr:spPr>
            <a:xfrm flipH="1">
              <a:off x="4305301" y="1431396"/>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4833406</xdr:colOff>
      <xdr:row>25</xdr:row>
      <xdr:rowOff>76201</xdr:rowOff>
    </xdr:from>
    <xdr:to>
      <xdr:col>7</xdr:col>
      <xdr:colOff>70906</xdr:colOff>
      <xdr:row>31</xdr:row>
      <xdr:rowOff>38101</xdr:rowOff>
    </xdr:to>
    <xdr:grpSp>
      <xdr:nvGrpSpPr>
        <xdr:cNvPr id="60" name="Groupe 59"/>
        <xdr:cNvGrpSpPr/>
      </xdr:nvGrpSpPr>
      <xdr:grpSpPr>
        <a:xfrm>
          <a:off x="12005171" y="5555877"/>
          <a:ext cx="1154206" cy="914400"/>
          <a:chOff x="10687050" y="4791075"/>
          <a:chExt cx="1171575" cy="885825"/>
        </a:xfrm>
      </xdr:grpSpPr>
      <xdr:grpSp>
        <xdr:nvGrpSpPr>
          <xdr:cNvPr id="15" name="Groupe 14"/>
          <xdr:cNvGrpSpPr/>
        </xdr:nvGrpSpPr>
        <xdr:grpSpPr>
          <a:xfrm>
            <a:off x="10687051" y="4791075"/>
            <a:ext cx="1171574" cy="885825"/>
            <a:chOff x="4562476" y="685799"/>
            <a:chExt cx="1676400" cy="1095376"/>
          </a:xfrm>
        </xdr:grpSpPr>
        <xdr:sp macro="" textlink="">
          <xdr:nvSpPr>
            <xdr:cNvPr id="16" name="Rectangle 15"/>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600"/>
            </a:p>
          </xdr:txBody>
        </xdr:sp>
        <xdr:sp macro="" textlink="">
          <xdr:nvSpPr>
            <xdr:cNvPr id="17" name="Rectangle 16"/>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600"/>
            </a:p>
          </xdr:txBody>
        </xdr:sp>
        <xdr:sp macro="" textlink="">
          <xdr:nvSpPr>
            <xdr:cNvPr id="18" name="ZoneTexte 17"/>
            <xdr:cNvSpPr txBox="1"/>
          </xdr:nvSpPr>
          <xdr:spPr>
            <a:xfrm>
              <a:off x="4572000" y="788490"/>
              <a:ext cx="857250" cy="463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700"/>
                <a:t>V = V</a:t>
              </a:r>
              <a:r>
                <a:rPr lang="fr-FR" sz="700" baseline="-25000"/>
                <a:t>1 </a:t>
              </a:r>
              <a:r>
                <a:rPr lang="fr-FR" sz="700"/>
                <a:t>+ V</a:t>
              </a:r>
              <a:r>
                <a:rPr lang="fr-FR" sz="700" baseline="-25000"/>
                <a:t>2</a:t>
              </a:r>
            </a:p>
          </xdr:txBody>
        </xdr:sp>
      </xdr:grpSp>
      <xdr:grpSp>
        <xdr:nvGrpSpPr>
          <xdr:cNvPr id="181" name="Groupe 180"/>
          <xdr:cNvGrpSpPr/>
        </xdr:nvGrpSpPr>
        <xdr:grpSpPr>
          <a:xfrm>
            <a:off x="10687050" y="5105400"/>
            <a:ext cx="276225" cy="149088"/>
            <a:chOff x="4210050" y="1419225"/>
            <a:chExt cx="314325" cy="190500"/>
          </a:xfrm>
        </xdr:grpSpPr>
        <xdr:sp macro="" textlink="">
          <xdr:nvSpPr>
            <xdr:cNvPr id="182" name="Rectangle 181"/>
            <xdr:cNvSpPr/>
          </xdr:nvSpPr>
          <xdr:spPr>
            <a:xfrm>
              <a:off x="4210050" y="1428750"/>
              <a:ext cx="314325" cy="180975"/>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83" name="Connecteur droit 182"/>
            <xdr:cNvCxnSpPr/>
          </xdr:nvCxnSpPr>
          <xdr:spPr>
            <a:xfrm flipH="1">
              <a:off x="4305300" y="1419225"/>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55" name="ZoneTexte 254"/>
          <xdr:cNvSpPr txBox="1"/>
        </xdr:nvSpPr>
        <xdr:spPr>
          <a:xfrm>
            <a:off x="10687051" y="5086350"/>
            <a:ext cx="3238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00"/>
              <a:t>V</a:t>
            </a:r>
            <a:r>
              <a:rPr lang="fr-FR" sz="700" baseline="-25000"/>
              <a:t>1</a:t>
            </a:r>
          </a:p>
        </xdr:txBody>
      </xdr:sp>
      <xdr:sp macro="" textlink="">
        <xdr:nvSpPr>
          <xdr:cNvPr id="256" name="ZoneTexte 255"/>
          <xdr:cNvSpPr txBox="1"/>
        </xdr:nvSpPr>
        <xdr:spPr>
          <a:xfrm>
            <a:off x="11010900" y="5086350"/>
            <a:ext cx="3238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00"/>
              <a:t>V</a:t>
            </a:r>
            <a:r>
              <a:rPr lang="fr-FR" sz="700" baseline="-25000"/>
              <a:t>2</a:t>
            </a:r>
          </a:p>
        </xdr:txBody>
      </xdr:sp>
    </xdr:grpSp>
    <xdr:clientData/>
  </xdr:twoCellAnchor>
  <xdr:twoCellAnchor>
    <xdr:from>
      <xdr:col>6</xdr:col>
      <xdr:colOff>4723342</xdr:colOff>
      <xdr:row>182</xdr:row>
      <xdr:rowOff>51862</xdr:rowOff>
    </xdr:from>
    <xdr:to>
      <xdr:col>7</xdr:col>
      <xdr:colOff>84665</xdr:colOff>
      <xdr:row>188</xdr:row>
      <xdr:rowOff>35987</xdr:rowOff>
    </xdr:to>
    <xdr:grpSp>
      <xdr:nvGrpSpPr>
        <xdr:cNvPr id="61" name="Groupe 60"/>
        <xdr:cNvGrpSpPr/>
      </xdr:nvGrpSpPr>
      <xdr:grpSpPr>
        <a:xfrm>
          <a:off x="11895107" y="36370127"/>
          <a:ext cx="1278029" cy="1048684"/>
          <a:chOff x="10563224" y="30127575"/>
          <a:chExt cx="1295400" cy="1133475"/>
        </a:xfrm>
      </xdr:grpSpPr>
      <xdr:grpSp>
        <xdr:nvGrpSpPr>
          <xdr:cNvPr id="30" name="Groupe 29"/>
          <xdr:cNvGrpSpPr/>
        </xdr:nvGrpSpPr>
        <xdr:grpSpPr>
          <a:xfrm>
            <a:off x="10563224" y="30127575"/>
            <a:ext cx="1295400" cy="1133475"/>
            <a:chOff x="10563224" y="29775150"/>
            <a:chExt cx="1295400" cy="1133475"/>
          </a:xfrm>
        </xdr:grpSpPr>
        <xdr:grpSp>
          <xdr:nvGrpSpPr>
            <xdr:cNvPr id="188" name="Groupe 187"/>
            <xdr:cNvGrpSpPr/>
          </xdr:nvGrpSpPr>
          <xdr:grpSpPr>
            <a:xfrm>
              <a:off x="10718673" y="30054777"/>
              <a:ext cx="1139951" cy="853848"/>
              <a:chOff x="4562476" y="685799"/>
              <a:chExt cx="1676400" cy="1095376"/>
            </a:xfrm>
          </xdr:grpSpPr>
          <xdr:grpSp>
            <xdr:nvGrpSpPr>
              <xdr:cNvPr id="189" name="Groupe 188"/>
              <xdr:cNvGrpSpPr/>
            </xdr:nvGrpSpPr>
            <xdr:grpSpPr>
              <a:xfrm>
                <a:off x="4562476" y="685799"/>
                <a:ext cx="1676400" cy="1095376"/>
                <a:chOff x="4562476" y="685799"/>
                <a:chExt cx="1676400" cy="1095376"/>
              </a:xfrm>
            </xdr:grpSpPr>
            <xdr:sp macro="" textlink="">
              <xdr:nvSpPr>
                <xdr:cNvPr id="196" name="Rectangle 195"/>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97" name="Rectangle 196"/>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98" name="ZoneTexte 197"/>
                <xdr:cNvSpPr txBox="1"/>
              </xdr:nvSpPr>
              <xdr:spPr>
                <a:xfrm>
                  <a:off x="4572000" y="693655"/>
                  <a:ext cx="857249" cy="468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000" baseline="30000"/>
                </a:p>
              </xdr:txBody>
            </xdr:sp>
          </xdr:grpSp>
          <xdr:grpSp>
            <xdr:nvGrpSpPr>
              <xdr:cNvPr id="190" name="Groupe 189"/>
              <xdr:cNvGrpSpPr/>
            </xdr:nvGrpSpPr>
            <xdr:grpSpPr>
              <a:xfrm>
                <a:off x="5410199" y="828675"/>
                <a:ext cx="628651" cy="209550"/>
                <a:chOff x="2524124" y="600075"/>
                <a:chExt cx="447675" cy="133350"/>
              </a:xfrm>
            </xdr:grpSpPr>
            <xdr:sp macro="" textlink="">
              <xdr:nvSpPr>
                <xdr:cNvPr id="191" name="Rectangle 190"/>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93" name="Connecteur droit 192"/>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4" name="Connecteur droit 193"/>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5" name="Connecteur droit 194"/>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grpSp>
          <xdr:nvGrpSpPr>
            <xdr:cNvPr id="199" name="Groupe 198"/>
            <xdr:cNvGrpSpPr/>
          </xdr:nvGrpSpPr>
          <xdr:grpSpPr>
            <a:xfrm>
              <a:off x="10563224" y="30185242"/>
              <a:ext cx="252604" cy="140009"/>
              <a:chOff x="2524124" y="838200"/>
              <a:chExt cx="628651" cy="209550"/>
            </a:xfrm>
          </xdr:grpSpPr>
          <xdr:sp macro="" textlink="">
            <xdr:nvSpPr>
              <xdr:cNvPr id="200" name="Rectangle 199"/>
              <xdr:cNvSpPr/>
            </xdr:nvSpPr>
            <xdr:spPr>
              <a:xfrm>
                <a:off x="2524125" y="853168"/>
                <a:ext cx="371476" cy="175532"/>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201" name="Connecteur droit 200"/>
              <xdr:cNvCxnSpPr/>
            </xdr:nvCxnSpPr>
            <xdr:spPr>
              <a:xfrm>
                <a:off x="265788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2" name="Connecteur droit 201"/>
              <xdr:cNvCxnSpPr/>
            </xdr:nvCxnSpPr>
            <xdr:spPr>
              <a:xfrm>
                <a:off x="277826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203" name="Rectangle 202"/>
            <xdr:cNvSpPr/>
          </xdr:nvSpPr>
          <xdr:spPr>
            <a:xfrm>
              <a:off x="10809350" y="30477989"/>
              <a:ext cx="71247" cy="445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05" name="Rectangle 204"/>
            <xdr:cNvSpPr/>
          </xdr:nvSpPr>
          <xdr:spPr>
            <a:xfrm>
              <a:off x="10938889" y="29898858"/>
              <a:ext cx="64771" cy="148495"/>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06" name="Rectangle 205"/>
            <xdr:cNvSpPr/>
          </xdr:nvSpPr>
          <xdr:spPr>
            <a:xfrm>
              <a:off x="11061952" y="29898858"/>
              <a:ext cx="64771" cy="1484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07" name="Rectangle 206"/>
            <xdr:cNvSpPr/>
          </xdr:nvSpPr>
          <xdr:spPr>
            <a:xfrm>
              <a:off x="10822304" y="29897506"/>
              <a:ext cx="64770" cy="148496"/>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nvGrpSpPr>
            <xdr:cNvPr id="29" name="Groupe 28"/>
            <xdr:cNvGrpSpPr/>
          </xdr:nvGrpSpPr>
          <xdr:grpSpPr>
            <a:xfrm>
              <a:off x="11163302" y="30270449"/>
              <a:ext cx="235561" cy="247651"/>
              <a:chOff x="8848727" y="30251399"/>
              <a:chExt cx="235561" cy="247651"/>
            </a:xfrm>
          </xdr:grpSpPr>
          <xdr:sp macro="" textlink="">
            <xdr:nvSpPr>
              <xdr:cNvPr id="209" name="Rectangle 208"/>
              <xdr:cNvSpPr/>
            </xdr:nvSpPr>
            <xdr:spPr>
              <a:xfrm flipH="1" flipV="1">
                <a:off x="8963023" y="30337124"/>
                <a:ext cx="76202" cy="76201"/>
              </a:xfrm>
              <a:prstGeom prst="rect">
                <a:avLst/>
              </a:prstGeom>
              <a:solidFill>
                <a:sysClr val="window" lastClr="FFFFFF"/>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210" name="Connecteur droit avec flèche 209"/>
              <xdr:cNvCxnSpPr>
                <a:stCxn id="211" idx="2"/>
                <a:endCxn id="211" idx="0"/>
              </xdr:cNvCxnSpPr>
            </xdr:nvCxnSpPr>
            <xdr:spPr>
              <a:xfrm flipH="1">
                <a:off x="8848727" y="30375224"/>
                <a:ext cx="235561" cy="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1" name="ZoneTexte 210"/>
              <xdr:cNvSpPr txBox="1"/>
            </xdr:nvSpPr>
            <xdr:spPr>
              <a:xfrm rot="16200000">
                <a:off x="8842682" y="30257444"/>
                <a:ext cx="247651" cy="235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x</a:t>
                </a:r>
              </a:p>
            </xdr:txBody>
          </xdr:sp>
        </xdr:grpSp>
        <xdr:cxnSp macro="">
          <xdr:nvCxnSpPr>
            <xdr:cNvPr id="213" name="Connecteur droit avec flèche 212"/>
            <xdr:cNvCxnSpPr/>
          </xdr:nvCxnSpPr>
          <xdr:spPr>
            <a:xfrm flipH="1" flipV="1">
              <a:off x="11087100" y="29775150"/>
              <a:ext cx="1" cy="3504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238" name="Groupe 237"/>
            <xdr:cNvGrpSpPr/>
          </xdr:nvGrpSpPr>
          <xdr:grpSpPr>
            <a:xfrm>
              <a:off x="10725150" y="30356172"/>
              <a:ext cx="276225" cy="149093"/>
              <a:chOff x="4210050" y="1443567"/>
              <a:chExt cx="314325" cy="190507"/>
            </a:xfrm>
          </xdr:grpSpPr>
          <xdr:sp macro="" textlink="">
            <xdr:nvSpPr>
              <xdr:cNvPr id="239" name="Rectangle 238"/>
              <xdr:cNvSpPr/>
            </xdr:nvSpPr>
            <xdr:spPr>
              <a:xfrm>
                <a:off x="4210050" y="1453098"/>
                <a:ext cx="314325" cy="180976"/>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240" name="Connecteur droit 239"/>
              <xdr:cNvCxnSpPr/>
            </xdr:nvCxnSpPr>
            <xdr:spPr>
              <a:xfrm flipH="1">
                <a:off x="4305301" y="1443567"/>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257" name="Rectangle 256"/>
          <xdr:cNvSpPr/>
        </xdr:nvSpPr>
        <xdr:spPr>
          <a:xfrm>
            <a:off x="11106150" y="30832425"/>
            <a:ext cx="72295" cy="38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editAs="oneCell">
    <xdr:from>
      <xdr:col>5</xdr:col>
      <xdr:colOff>168088</xdr:colOff>
      <xdr:row>132</xdr:row>
      <xdr:rowOff>342143</xdr:rowOff>
    </xdr:from>
    <xdr:to>
      <xdr:col>6</xdr:col>
      <xdr:colOff>3017651</xdr:colOff>
      <xdr:row>139</xdr:row>
      <xdr:rowOff>736492</xdr:rowOff>
    </xdr:to>
    <xdr:pic>
      <xdr:nvPicPr>
        <xdr:cNvPr id="244" name="Image 24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64088" y="25701055"/>
          <a:ext cx="3925328" cy="316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2991970</xdr:colOff>
      <xdr:row>132</xdr:row>
      <xdr:rowOff>361949</xdr:rowOff>
    </xdr:from>
    <xdr:to>
      <xdr:col>7</xdr:col>
      <xdr:colOff>102177</xdr:colOff>
      <xdr:row>140</xdr:row>
      <xdr:rowOff>344426</xdr:rowOff>
    </xdr:to>
    <xdr:pic>
      <xdr:nvPicPr>
        <xdr:cNvPr id="10" name="Image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163735" y="25720861"/>
          <a:ext cx="3026913" cy="3545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857250</xdr:colOff>
          <xdr:row>15</xdr:row>
          <xdr:rowOff>85725</xdr:rowOff>
        </xdr:from>
        <xdr:to>
          <xdr:col>6</xdr:col>
          <xdr:colOff>1438275</xdr:colOff>
          <xdr:row>16</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2409825</xdr:colOff>
          <xdr:row>15</xdr:row>
          <xdr:rowOff>85725</xdr:rowOff>
        </xdr:from>
        <xdr:to>
          <xdr:col>6</xdr:col>
          <xdr:colOff>4762500</xdr:colOff>
          <xdr:row>16</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 incomplet ou non conforme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19</xdr:row>
          <xdr:rowOff>104775</xdr:rowOff>
        </xdr:from>
        <xdr:to>
          <xdr:col>6</xdr:col>
          <xdr:colOff>1428750</xdr:colOff>
          <xdr:row>19</xdr:row>
          <xdr:rowOff>276225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2400300</xdr:colOff>
          <xdr:row>19</xdr:row>
          <xdr:rowOff>104775</xdr:rowOff>
        </xdr:from>
        <xdr:to>
          <xdr:col>6</xdr:col>
          <xdr:colOff>4752975</xdr:colOff>
          <xdr:row>19</xdr:row>
          <xdr:rowOff>285750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 incomplet ou non conforme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17</xdr:row>
          <xdr:rowOff>57150</xdr:rowOff>
        </xdr:from>
        <xdr:to>
          <xdr:col>6</xdr:col>
          <xdr:colOff>1428750</xdr:colOff>
          <xdr:row>18</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2400300</xdr:colOff>
          <xdr:row>17</xdr:row>
          <xdr:rowOff>57150</xdr:rowOff>
        </xdr:from>
        <xdr:to>
          <xdr:col>6</xdr:col>
          <xdr:colOff>4752975</xdr:colOff>
          <xdr:row>18</xdr:row>
          <xdr:rowOff>9525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 incomplet ou non conforme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3743324</xdr:colOff>
          <xdr:row>178</xdr:row>
          <xdr:rowOff>0</xdr:rowOff>
        </xdr:from>
        <xdr:to>
          <xdr:col>2</xdr:col>
          <xdr:colOff>3917155</xdr:colOff>
          <xdr:row>180</xdr:row>
          <xdr:rowOff>16671</xdr:rowOff>
        </xdr:to>
        <xdr:sp macro="" textlink="">
          <xdr:nvSpPr>
            <xdr:cNvPr id="1046" name="Scroll Bar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3545677</xdr:colOff>
          <xdr:row>175</xdr:row>
          <xdr:rowOff>57726</xdr:rowOff>
        </xdr:from>
        <xdr:to>
          <xdr:col>6</xdr:col>
          <xdr:colOff>4745827</xdr:colOff>
          <xdr:row>175</xdr:row>
          <xdr:rowOff>269328</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 (avis d'expert)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4781548</xdr:colOff>
          <xdr:row>175</xdr:row>
          <xdr:rowOff>54770</xdr:rowOff>
        </xdr:from>
        <xdr:to>
          <xdr:col>6</xdr:col>
          <xdr:colOff>5876923</xdr:colOff>
          <xdr:row>175</xdr:row>
          <xdr:rowOff>269083</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sans avis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133</xdr:row>
          <xdr:rowOff>2383</xdr:rowOff>
        </xdr:from>
        <xdr:to>
          <xdr:col>3</xdr:col>
          <xdr:colOff>847725</xdr:colOff>
          <xdr:row>133</xdr:row>
          <xdr:rowOff>197645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21432</xdr:colOff>
          <xdr:row>133</xdr:row>
          <xdr:rowOff>11908</xdr:rowOff>
        </xdr:from>
        <xdr:to>
          <xdr:col>5</xdr:col>
          <xdr:colOff>83344</xdr:colOff>
          <xdr:row>134</xdr:row>
          <xdr:rowOff>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134</xdr:row>
          <xdr:rowOff>11908</xdr:rowOff>
        </xdr:from>
        <xdr:to>
          <xdr:col>3</xdr:col>
          <xdr:colOff>847725</xdr:colOff>
          <xdr:row>135</xdr:row>
          <xdr:rowOff>14290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21432</xdr:colOff>
          <xdr:row>134</xdr:row>
          <xdr:rowOff>11908</xdr:rowOff>
        </xdr:from>
        <xdr:to>
          <xdr:col>5</xdr:col>
          <xdr:colOff>240507</xdr:colOff>
          <xdr:row>135</xdr:row>
          <xdr:rowOff>14290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135</xdr:row>
          <xdr:rowOff>9527</xdr:rowOff>
        </xdr:from>
        <xdr:to>
          <xdr:col>3</xdr:col>
          <xdr:colOff>847725</xdr:colOff>
          <xdr:row>136</xdr:row>
          <xdr:rowOff>2382</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21432</xdr:colOff>
          <xdr:row>135</xdr:row>
          <xdr:rowOff>21433</xdr:rowOff>
        </xdr:from>
        <xdr:to>
          <xdr:col>5</xdr:col>
          <xdr:colOff>240507</xdr:colOff>
          <xdr:row>136</xdr:row>
          <xdr:rowOff>14288</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5629275</xdr:colOff>
          <xdr:row>174</xdr:row>
          <xdr:rowOff>69057</xdr:rowOff>
        </xdr:from>
        <xdr:to>
          <xdr:col>6</xdr:col>
          <xdr:colOff>5848350</xdr:colOff>
          <xdr:row>174</xdr:row>
          <xdr:rowOff>485776</xdr:rowOff>
        </xdr:to>
        <xdr:sp macro="" textlink="">
          <xdr:nvSpPr>
            <xdr:cNvPr id="1086" name="Scroll Bar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twoCellAnchor>
    <xdr:from>
      <xdr:col>2</xdr:col>
      <xdr:colOff>57150</xdr:colOff>
      <xdr:row>214</xdr:row>
      <xdr:rowOff>104774</xdr:rowOff>
    </xdr:from>
    <xdr:to>
      <xdr:col>7</xdr:col>
      <xdr:colOff>71436</xdr:colOff>
      <xdr:row>214</xdr:row>
      <xdr:rowOff>5175250</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11906</xdr:colOff>
      <xdr:row>213</xdr:row>
      <xdr:rowOff>149677</xdr:rowOff>
    </xdr:from>
    <xdr:to>
      <xdr:col>6</xdr:col>
      <xdr:colOff>190500</xdr:colOff>
      <xdr:row>214</xdr:row>
      <xdr:rowOff>217713</xdr:rowOff>
    </xdr:to>
    <xdr:sp macro="" textlink="">
      <xdr:nvSpPr>
        <xdr:cNvPr id="19" name="ZoneTexte 18"/>
        <xdr:cNvSpPr txBox="1"/>
      </xdr:nvSpPr>
      <xdr:spPr>
        <a:xfrm>
          <a:off x="130969" y="53918302"/>
          <a:ext cx="7215187" cy="520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Comparer</a:t>
          </a:r>
          <a:r>
            <a:rPr lang="fr-FR" sz="1100" b="1" baseline="0"/>
            <a:t> le total des débits à extraire et extraits</a:t>
          </a:r>
          <a:r>
            <a:rPr lang="fr-FR" sz="1100" b="1"/>
            <a:t>, ils</a:t>
          </a:r>
          <a:r>
            <a:rPr lang="fr-FR" sz="1100" b="1" baseline="0"/>
            <a:t> doivent être relativement proches l'un de l'autre.</a:t>
          </a:r>
          <a:endParaRPr lang="fr-FR" sz="1100" b="1"/>
        </a:p>
      </xdr:txBody>
    </xdr:sp>
    <xdr:clientData/>
  </xdr:twoCellAnchor>
  <xdr:twoCellAnchor>
    <xdr:from>
      <xdr:col>2</xdr:col>
      <xdr:colOff>2059781</xdr:colOff>
      <xdr:row>213</xdr:row>
      <xdr:rowOff>416720</xdr:rowOff>
    </xdr:from>
    <xdr:to>
      <xdr:col>2</xdr:col>
      <xdr:colOff>4048124</xdr:colOff>
      <xdr:row>214</xdr:row>
      <xdr:rowOff>214313</xdr:rowOff>
    </xdr:to>
    <xdr:sp macro="" textlink="">
      <xdr:nvSpPr>
        <xdr:cNvPr id="21" name="Forme libre 20"/>
        <xdr:cNvSpPr/>
      </xdr:nvSpPr>
      <xdr:spPr>
        <a:xfrm>
          <a:off x="2345531" y="54185345"/>
          <a:ext cx="1988343" cy="250031"/>
        </a:xfrm>
        <a:custGeom>
          <a:avLst/>
          <a:gdLst>
            <a:gd name="connsiteX0" fmla="*/ 0 w 1156607"/>
            <a:gd name="connsiteY0" fmla="*/ 190500 h 190500"/>
            <a:gd name="connsiteX1" fmla="*/ 585107 w 1156607"/>
            <a:gd name="connsiteY1" fmla="*/ 0 h 190500"/>
            <a:gd name="connsiteX2" fmla="*/ 1156607 w 1156607"/>
            <a:gd name="connsiteY2" fmla="*/ 190500 h 190500"/>
            <a:gd name="connsiteX3" fmla="*/ 1156607 w 1156607"/>
            <a:gd name="connsiteY3" fmla="*/ 190500 h 190500"/>
          </a:gdLst>
          <a:ahLst/>
          <a:cxnLst>
            <a:cxn ang="0">
              <a:pos x="connsiteX0" y="connsiteY0"/>
            </a:cxn>
            <a:cxn ang="0">
              <a:pos x="connsiteX1" y="connsiteY1"/>
            </a:cxn>
            <a:cxn ang="0">
              <a:pos x="connsiteX2" y="connsiteY2"/>
            </a:cxn>
            <a:cxn ang="0">
              <a:pos x="connsiteX3" y="connsiteY3"/>
            </a:cxn>
          </a:cxnLst>
          <a:rect l="l" t="t" r="r" b="b"/>
          <a:pathLst>
            <a:path w="1156607" h="190500">
              <a:moveTo>
                <a:pt x="0" y="190500"/>
              </a:moveTo>
              <a:cubicBezTo>
                <a:pt x="196169" y="95250"/>
                <a:pt x="392339" y="0"/>
                <a:pt x="585107" y="0"/>
              </a:cubicBezTo>
              <a:cubicBezTo>
                <a:pt x="777875" y="0"/>
                <a:pt x="1156607" y="190500"/>
                <a:pt x="1156607" y="190500"/>
              </a:cubicBezTo>
              <a:lnTo>
                <a:pt x="1156607" y="190500"/>
              </a:lnTo>
            </a:path>
          </a:pathLst>
        </a:custGeom>
        <a:noFill/>
        <a:ln>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130988</xdr:colOff>
      <xdr:row>214</xdr:row>
      <xdr:rowOff>2309813</xdr:rowOff>
    </xdr:from>
    <xdr:to>
      <xdr:col>5</xdr:col>
      <xdr:colOff>35738</xdr:colOff>
      <xdr:row>214</xdr:row>
      <xdr:rowOff>4964905</xdr:rowOff>
    </xdr:to>
    <xdr:sp macro="" textlink="">
      <xdr:nvSpPr>
        <xdr:cNvPr id="12" name="ZoneTexte 11"/>
        <xdr:cNvSpPr txBox="1"/>
      </xdr:nvSpPr>
      <xdr:spPr>
        <a:xfrm rot="16200000">
          <a:off x="4476771" y="57542906"/>
          <a:ext cx="2655092" cy="631031"/>
        </a:xfrm>
        <a:prstGeom prst="rect">
          <a:avLst/>
        </a:prstGeom>
        <a:no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aseline="0"/>
            <a:t>La somme des  5 débits  est à comparer  au débit d'extraction avec filtres encrassés (Dext)</a:t>
          </a:r>
          <a:endParaRPr lang="fr-FR" sz="1100"/>
        </a:p>
      </xdr:txBody>
    </xdr:sp>
    <xdr:clientData/>
  </xdr:twoCellAnchor>
  <xdr:twoCellAnchor>
    <xdr:from>
      <xdr:col>5</xdr:col>
      <xdr:colOff>309580</xdr:colOff>
      <xdr:row>214</xdr:row>
      <xdr:rowOff>1238247</xdr:rowOff>
    </xdr:from>
    <xdr:to>
      <xdr:col>6</xdr:col>
      <xdr:colOff>4893474</xdr:colOff>
      <xdr:row>214</xdr:row>
      <xdr:rowOff>1726406</xdr:rowOff>
    </xdr:to>
    <xdr:sp macro="" textlink="">
      <xdr:nvSpPr>
        <xdr:cNvPr id="261" name="ZoneTexte 260"/>
        <xdr:cNvSpPr txBox="1"/>
      </xdr:nvSpPr>
      <xdr:spPr>
        <a:xfrm rot="16200000">
          <a:off x="8977322" y="52875662"/>
          <a:ext cx="488159" cy="5655456"/>
        </a:xfrm>
        <a:prstGeom prst="rect">
          <a:avLst/>
        </a:prstGeom>
        <a:no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100"/>
        </a:p>
      </xdr:txBody>
    </xdr:sp>
    <xdr:clientData/>
  </xdr:twoCellAnchor>
  <xdr:twoCellAnchor>
    <xdr:from>
      <xdr:col>5</xdr:col>
      <xdr:colOff>309567</xdr:colOff>
      <xdr:row>214</xdr:row>
      <xdr:rowOff>2297903</xdr:rowOff>
    </xdr:from>
    <xdr:to>
      <xdr:col>6</xdr:col>
      <xdr:colOff>4905380</xdr:colOff>
      <xdr:row>214</xdr:row>
      <xdr:rowOff>4976806</xdr:rowOff>
    </xdr:to>
    <xdr:sp macro="" textlink="">
      <xdr:nvSpPr>
        <xdr:cNvPr id="262" name="ZoneTexte 261"/>
        <xdr:cNvSpPr txBox="1"/>
      </xdr:nvSpPr>
      <xdr:spPr>
        <a:xfrm rot="16200000">
          <a:off x="7887897" y="55024730"/>
          <a:ext cx="2678903" cy="5667375"/>
        </a:xfrm>
        <a:prstGeom prst="rect">
          <a:avLst/>
        </a:prstGeom>
        <a:no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100"/>
        </a:p>
      </xdr:txBody>
    </xdr:sp>
    <xdr:clientData/>
  </xdr:twoCellAnchor>
  <xdr:twoCellAnchor>
    <xdr:from>
      <xdr:col>5</xdr:col>
      <xdr:colOff>35739</xdr:colOff>
      <xdr:row>214</xdr:row>
      <xdr:rowOff>3637354</xdr:rowOff>
    </xdr:from>
    <xdr:to>
      <xdr:col>5</xdr:col>
      <xdr:colOff>309567</xdr:colOff>
      <xdr:row>214</xdr:row>
      <xdr:rowOff>3637359</xdr:rowOff>
    </xdr:to>
    <xdr:cxnSp macro="">
      <xdr:nvCxnSpPr>
        <xdr:cNvPr id="22" name="Connecteur droit avec flèche 21"/>
        <xdr:cNvCxnSpPr>
          <a:stCxn id="262" idx="0"/>
          <a:endCxn id="12" idx="2"/>
        </xdr:cNvCxnSpPr>
      </xdr:nvCxnSpPr>
      <xdr:spPr>
        <a:xfrm flipH="1">
          <a:off x="6119833" y="57858417"/>
          <a:ext cx="273828" cy="5"/>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309583</xdr:colOff>
      <xdr:row>214</xdr:row>
      <xdr:rowOff>1940717</xdr:rowOff>
    </xdr:from>
    <xdr:to>
      <xdr:col>6</xdr:col>
      <xdr:colOff>4881566</xdr:colOff>
      <xdr:row>214</xdr:row>
      <xdr:rowOff>2214565</xdr:rowOff>
    </xdr:to>
    <xdr:sp macro="" textlink="">
      <xdr:nvSpPr>
        <xdr:cNvPr id="265" name="ZoneTexte 264"/>
        <xdr:cNvSpPr txBox="1"/>
      </xdr:nvSpPr>
      <xdr:spPr>
        <a:xfrm rot="16200000">
          <a:off x="9078526" y="53476931"/>
          <a:ext cx="273848" cy="5643545"/>
        </a:xfrm>
        <a:prstGeom prst="rect">
          <a:avLst/>
        </a:prstGeom>
        <a:no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100"/>
        </a:p>
      </xdr:txBody>
    </xdr:sp>
    <xdr:clientData/>
  </xdr:twoCellAnchor>
  <xdr:twoCellAnchor>
    <xdr:from>
      <xdr:col>5</xdr:col>
      <xdr:colOff>333384</xdr:colOff>
      <xdr:row>214</xdr:row>
      <xdr:rowOff>273877</xdr:rowOff>
    </xdr:from>
    <xdr:to>
      <xdr:col>6</xdr:col>
      <xdr:colOff>4869672</xdr:colOff>
      <xdr:row>214</xdr:row>
      <xdr:rowOff>1131093</xdr:rowOff>
    </xdr:to>
    <xdr:sp macro="" textlink="">
      <xdr:nvSpPr>
        <xdr:cNvPr id="266" name="ZoneTexte 265"/>
        <xdr:cNvSpPr txBox="1"/>
      </xdr:nvSpPr>
      <xdr:spPr>
        <a:xfrm rot="16200000">
          <a:off x="8792795" y="52119623"/>
          <a:ext cx="857216" cy="5607850"/>
        </a:xfrm>
        <a:prstGeom prst="rect">
          <a:avLst/>
        </a:prstGeom>
        <a:no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100"/>
        </a:p>
      </xdr:txBody>
    </xdr:sp>
    <xdr:clientData/>
  </xdr:twoCellAnchor>
  <xdr:twoCellAnchor>
    <xdr:from>
      <xdr:col>6</xdr:col>
      <xdr:colOff>5250659</xdr:colOff>
      <xdr:row>214</xdr:row>
      <xdr:rowOff>726269</xdr:rowOff>
    </xdr:from>
    <xdr:to>
      <xdr:col>7</xdr:col>
      <xdr:colOff>1</xdr:colOff>
      <xdr:row>214</xdr:row>
      <xdr:rowOff>3440906</xdr:rowOff>
    </xdr:to>
    <xdr:sp macro="" textlink="">
      <xdr:nvSpPr>
        <xdr:cNvPr id="274" name="ZoneTexte 273"/>
        <xdr:cNvSpPr txBox="1"/>
      </xdr:nvSpPr>
      <xdr:spPr>
        <a:xfrm rot="5400000">
          <a:off x="11382371" y="55971276"/>
          <a:ext cx="2714637" cy="666749"/>
        </a:xfrm>
        <a:prstGeom prst="rect">
          <a:avLst/>
        </a:prstGeom>
        <a:no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aseline="0"/>
            <a:t>Le débit des entrées d'air additionnelles doit être  a minima égal à la somme </a:t>
          </a:r>
        </a:p>
        <a:p>
          <a:pPr algn="ctr"/>
          <a:r>
            <a:rPr lang="fr-FR" sz="1100" baseline="0"/>
            <a:t>des 2 débits d'extraction.</a:t>
          </a:r>
          <a:endParaRPr lang="fr-FR" sz="1100"/>
        </a:p>
      </xdr:txBody>
    </xdr:sp>
    <xdr:clientData/>
  </xdr:twoCellAnchor>
  <xdr:twoCellAnchor>
    <xdr:from>
      <xdr:col>6</xdr:col>
      <xdr:colOff>4869661</xdr:colOff>
      <xdr:row>214</xdr:row>
      <xdr:rowOff>488161</xdr:rowOff>
    </xdr:from>
    <xdr:to>
      <xdr:col>6</xdr:col>
      <xdr:colOff>5584033</xdr:colOff>
      <xdr:row>214</xdr:row>
      <xdr:rowOff>726269</xdr:rowOff>
    </xdr:to>
    <xdr:cxnSp macro="">
      <xdr:nvCxnSpPr>
        <xdr:cNvPr id="282" name="Connecteur en angle 281"/>
        <xdr:cNvCxnSpPr>
          <a:stCxn id="274" idx="1"/>
        </xdr:cNvCxnSpPr>
      </xdr:nvCxnSpPr>
      <xdr:spPr>
        <a:xfrm rot="16200000" flipV="1">
          <a:off x="12263449" y="54471092"/>
          <a:ext cx="238108" cy="714372"/>
        </a:xfrm>
        <a:prstGeom prst="bentConnector2">
          <a:avLst/>
        </a:prstGeom>
        <a:ln w="190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4905387</xdr:colOff>
      <xdr:row>214</xdr:row>
      <xdr:rowOff>2083588</xdr:rowOff>
    </xdr:from>
    <xdr:to>
      <xdr:col>6</xdr:col>
      <xdr:colOff>5250659</xdr:colOff>
      <xdr:row>214</xdr:row>
      <xdr:rowOff>2083594</xdr:rowOff>
    </xdr:to>
    <xdr:cxnSp macro="">
      <xdr:nvCxnSpPr>
        <xdr:cNvPr id="285" name="Connecteur droit avec flèche 284"/>
        <xdr:cNvCxnSpPr>
          <a:endCxn id="274" idx="2"/>
        </xdr:cNvCxnSpPr>
      </xdr:nvCxnSpPr>
      <xdr:spPr>
        <a:xfrm flipV="1">
          <a:off x="12061043" y="56304651"/>
          <a:ext cx="345272" cy="6"/>
        </a:xfrm>
        <a:prstGeom prst="straightConnector1">
          <a:avLst/>
        </a:prstGeom>
        <a:ln w="190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476250</xdr:colOff>
      <xdr:row>214</xdr:row>
      <xdr:rowOff>1482328</xdr:rowOff>
    </xdr:from>
    <xdr:to>
      <xdr:col>5</xdr:col>
      <xdr:colOff>309580</xdr:colOff>
      <xdr:row>214</xdr:row>
      <xdr:rowOff>2297907</xdr:rowOff>
    </xdr:to>
    <xdr:cxnSp macro="">
      <xdr:nvCxnSpPr>
        <xdr:cNvPr id="105" name="Connecteur en angle 104"/>
        <xdr:cNvCxnSpPr>
          <a:endCxn id="261" idx="0"/>
        </xdr:cNvCxnSpPr>
      </xdr:nvCxnSpPr>
      <xdr:spPr>
        <a:xfrm rot="5400000" flipH="1" flipV="1">
          <a:off x="5706079" y="55831375"/>
          <a:ext cx="815579" cy="559611"/>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771525</xdr:colOff>
      <xdr:row>6</xdr:row>
      <xdr:rowOff>152400</xdr:rowOff>
    </xdr:from>
    <xdr:to>
      <xdr:col>10</xdr:col>
      <xdr:colOff>314325</xdr:colOff>
      <xdr:row>16</xdr:row>
      <xdr:rowOff>142875</xdr:rowOff>
    </xdr:to>
    <xdr:graphicFrame macro="">
      <xdr:nvGraphicFramePr>
        <xdr:cNvPr id="206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771525</xdr:colOff>
      <xdr:row>6</xdr:row>
      <xdr:rowOff>152400</xdr:rowOff>
    </xdr:from>
    <xdr:to>
      <xdr:col>10</xdr:col>
      <xdr:colOff>314325</xdr:colOff>
      <xdr:row>21</xdr:row>
      <xdr:rowOff>104775</xdr:rowOff>
    </xdr:to>
    <xdr:graphicFrame macro="">
      <xdr:nvGraphicFramePr>
        <xdr:cNvPr id="206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828676</xdr:colOff>
      <xdr:row>3</xdr:row>
      <xdr:rowOff>47624</xdr:rowOff>
    </xdr:from>
    <xdr:to>
      <xdr:col>3</xdr:col>
      <xdr:colOff>828676</xdr:colOff>
      <xdr:row>10</xdr:row>
      <xdr:rowOff>9525</xdr:rowOff>
    </xdr:to>
    <xdr:sp macro="" textlink="">
      <xdr:nvSpPr>
        <xdr:cNvPr id="2" name="Rectangle 1"/>
        <xdr:cNvSpPr/>
      </xdr:nvSpPr>
      <xdr:spPr>
        <a:xfrm>
          <a:off x="1666876" y="5333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9525</xdr:colOff>
      <xdr:row>3</xdr:row>
      <xdr:rowOff>57151</xdr:rowOff>
    </xdr:from>
    <xdr:to>
      <xdr:col>3</xdr:col>
      <xdr:colOff>0</xdr:colOff>
      <xdr:row>6</xdr:row>
      <xdr:rowOff>142876</xdr:rowOff>
    </xdr:to>
    <xdr:sp macro="" textlink="">
      <xdr:nvSpPr>
        <xdr:cNvPr id="4" name="Rectangle 3"/>
        <xdr:cNvSpPr/>
      </xdr:nvSpPr>
      <xdr:spPr>
        <a:xfrm>
          <a:off x="1685925" y="5429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4</xdr:row>
      <xdr:rowOff>0</xdr:rowOff>
    </xdr:from>
    <xdr:to>
      <xdr:col>3</xdr:col>
      <xdr:colOff>19050</xdr:colOff>
      <xdr:row>5</xdr:row>
      <xdr:rowOff>104775</xdr:rowOff>
    </xdr:to>
    <xdr:sp macro="" textlink="">
      <xdr:nvSpPr>
        <xdr:cNvPr id="21" name="ZoneTexte 20"/>
        <xdr:cNvSpPr txBox="1"/>
      </xdr:nvSpPr>
      <xdr:spPr>
        <a:xfrm>
          <a:off x="1676400" y="647700"/>
          <a:ext cx="857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t>Volume en m</a:t>
          </a:r>
          <a:r>
            <a:rPr lang="fr-FR" sz="800" baseline="30000"/>
            <a:t>3</a:t>
          </a:r>
        </a:p>
      </xdr:txBody>
    </xdr:sp>
    <xdr:clientData/>
  </xdr:twoCellAnchor>
  <xdr:twoCellAnchor>
    <xdr:from>
      <xdr:col>2</xdr:col>
      <xdr:colOff>314324</xdr:colOff>
      <xdr:row>2</xdr:row>
      <xdr:rowOff>9525</xdr:rowOff>
    </xdr:from>
    <xdr:to>
      <xdr:col>2</xdr:col>
      <xdr:colOff>409575</xdr:colOff>
      <xdr:row>3</xdr:row>
      <xdr:rowOff>38100</xdr:rowOff>
    </xdr:to>
    <xdr:sp macro="" textlink="">
      <xdr:nvSpPr>
        <xdr:cNvPr id="23" name="Rectangle 22"/>
        <xdr:cNvSpPr/>
      </xdr:nvSpPr>
      <xdr:spPr>
        <a:xfrm>
          <a:off x="1990724" y="3333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495299</xdr:colOff>
      <xdr:row>2</xdr:row>
      <xdr:rowOff>9525</xdr:rowOff>
    </xdr:from>
    <xdr:to>
      <xdr:col>2</xdr:col>
      <xdr:colOff>590550</xdr:colOff>
      <xdr:row>3</xdr:row>
      <xdr:rowOff>38100</xdr:rowOff>
    </xdr:to>
    <xdr:sp macro="" textlink="">
      <xdr:nvSpPr>
        <xdr:cNvPr id="25" name="Rectangle 24"/>
        <xdr:cNvSpPr/>
      </xdr:nvSpPr>
      <xdr:spPr>
        <a:xfrm>
          <a:off x="2171699" y="3333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142875</xdr:colOff>
      <xdr:row>2</xdr:row>
      <xdr:rowOff>19050</xdr:rowOff>
    </xdr:from>
    <xdr:to>
      <xdr:col>2</xdr:col>
      <xdr:colOff>238126</xdr:colOff>
      <xdr:row>3</xdr:row>
      <xdr:rowOff>47625</xdr:rowOff>
    </xdr:to>
    <xdr:sp macro="" textlink="">
      <xdr:nvSpPr>
        <xdr:cNvPr id="26" name="Rectangle 25"/>
        <xdr:cNvSpPr/>
      </xdr:nvSpPr>
      <xdr:spPr>
        <a:xfrm>
          <a:off x="1819275" y="342900"/>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133350</xdr:colOff>
      <xdr:row>6</xdr:row>
      <xdr:rowOff>114300</xdr:rowOff>
    </xdr:from>
    <xdr:to>
      <xdr:col>2</xdr:col>
      <xdr:colOff>238125</xdr:colOff>
      <xdr:row>7</xdr:row>
      <xdr:rowOff>9525</xdr:rowOff>
    </xdr:to>
    <xdr:sp macro="" textlink="">
      <xdr:nvSpPr>
        <xdr:cNvPr id="27" name="Rectangle 26"/>
        <xdr:cNvSpPr/>
      </xdr:nvSpPr>
      <xdr:spPr>
        <a:xfrm>
          <a:off x="1809750" y="1085850"/>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609600</xdr:colOff>
      <xdr:row>6</xdr:row>
      <xdr:rowOff>114300</xdr:rowOff>
    </xdr:from>
    <xdr:to>
      <xdr:col>2</xdr:col>
      <xdr:colOff>714375</xdr:colOff>
      <xdr:row>7</xdr:row>
      <xdr:rowOff>9525</xdr:rowOff>
    </xdr:to>
    <xdr:sp macro="" textlink="">
      <xdr:nvSpPr>
        <xdr:cNvPr id="28" name="Rectangle 27"/>
        <xdr:cNvSpPr/>
      </xdr:nvSpPr>
      <xdr:spPr>
        <a:xfrm>
          <a:off x="2286000" y="1085850"/>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542925</xdr:colOff>
      <xdr:row>1</xdr:row>
      <xdr:rowOff>28575</xdr:rowOff>
    </xdr:from>
    <xdr:to>
      <xdr:col>2</xdr:col>
      <xdr:colOff>542926</xdr:colOff>
      <xdr:row>3</xdr:row>
      <xdr:rowOff>152401</xdr:rowOff>
    </xdr:to>
    <xdr:cxnSp macro="">
      <xdr:nvCxnSpPr>
        <xdr:cNvPr id="31" name="Connecteur droit avec flèche 30"/>
        <xdr:cNvCxnSpPr/>
      </xdr:nvCxnSpPr>
      <xdr:spPr>
        <a:xfrm flipH="1" flipV="1">
          <a:off x="2219325" y="190500"/>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5</xdr:row>
      <xdr:rowOff>123825</xdr:rowOff>
    </xdr:from>
    <xdr:to>
      <xdr:col>2</xdr:col>
      <xdr:colOff>190500</xdr:colOff>
      <xdr:row>7</xdr:row>
      <xdr:rowOff>142876</xdr:rowOff>
    </xdr:to>
    <xdr:cxnSp macro="">
      <xdr:nvCxnSpPr>
        <xdr:cNvPr id="35" name="Connecteur droit avec flèche 34"/>
        <xdr:cNvCxnSpPr/>
      </xdr:nvCxnSpPr>
      <xdr:spPr>
        <a:xfrm flipH="1" flipV="1">
          <a:off x="1857375" y="93345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361951</xdr:colOff>
      <xdr:row>6</xdr:row>
      <xdr:rowOff>85725</xdr:rowOff>
    </xdr:from>
    <xdr:to>
      <xdr:col>2</xdr:col>
      <xdr:colOff>457201</xdr:colOff>
      <xdr:row>7</xdr:row>
      <xdr:rowOff>47625</xdr:rowOff>
    </xdr:to>
    <xdr:sp macro="" textlink="">
      <xdr:nvSpPr>
        <xdr:cNvPr id="38" name="Rectangle 37"/>
        <xdr:cNvSpPr/>
      </xdr:nvSpPr>
      <xdr:spPr>
        <a:xfrm>
          <a:off x="2038351" y="1057275"/>
          <a:ext cx="95250" cy="1238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409575</xdr:colOff>
      <xdr:row>5</xdr:row>
      <xdr:rowOff>114300</xdr:rowOff>
    </xdr:from>
    <xdr:to>
      <xdr:col>2</xdr:col>
      <xdr:colOff>419100</xdr:colOff>
      <xdr:row>7</xdr:row>
      <xdr:rowOff>133351</xdr:rowOff>
    </xdr:to>
    <xdr:cxnSp macro="">
      <xdr:nvCxnSpPr>
        <xdr:cNvPr id="39" name="Connecteur droit avec flèche 38"/>
        <xdr:cNvCxnSpPr/>
      </xdr:nvCxnSpPr>
      <xdr:spPr>
        <a:xfrm flipH="1" flipV="1">
          <a:off x="2085975" y="923925"/>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666750</xdr:colOff>
      <xdr:row>5</xdr:row>
      <xdr:rowOff>123825</xdr:rowOff>
    </xdr:from>
    <xdr:to>
      <xdr:col>2</xdr:col>
      <xdr:colOff>676275</xdr:colOff>
      <xdr:row>7</xdr:row>
      <xdr:rowOff>142876</xdr:rowOff>
    </xdr:to>
    <xdr:cxnSp macro="">
      <xdr:nvCxnSpPr>
        <xdr:cNvPr id="40" name="Connecteur droit avec flèche 39"/>
        <xdr:cNvCxnSpPr/>
      </xdr:nvCxnSpPr>
      <xdr:spPr>
        <a:xfrm flipH="1" flipV="1">
          <a:off x="2343150" y="93345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361950</xdr:colOff>
      <xdr:row>1</xdr:row>
      <xdr:rowOff>19050</xdr:rowOff>
    </xdr:from>
    <xdr:to>
      <xdr:col>2</xdr:col>
      <xdr:colOff>361951</xdr:colOff>
      <xdr:row>3</xdr:row>
      <xdr:rowOff>142876</xdr:rowOff>
    </xdr:to>
    <xdr:cxnSp macro="">
      <xdr:nvCxnSpPr>
        <xdr:cNvPr id="41" name="Connecteur droit avec flèche 40"/>
        <xdr:cNvCxnSpPr/>
      </xdr:nvCxnSpPr>
      <xdr:spPr>
        <a:xfrm flipH="1" flipV="1">
          <a:off x="2038350" y="180975"/>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1</xdr:row>
      <xdr:rowOff>19050</xdr:rowOff>
    </xdr:from>
    <xdr:to>
      <xdr:col>2</xdr:col>
      <xdr:colOff>180976</xdr:colOff>
      <xdr:row>3</xdr:row>
      <xdr:rowOff>142876</xdr:rowOff>
    </xdr:to>
    <xdr:cxnSp macro="">
      <xdr:nvCxnSpPr>
        <xdr:cNvPr id="42" name="Connecteur droit avec flèche 41"/>
        <xdr:cNvCxnSpPr/>
      </xdr:nvCxnSpPr>
      <xdr:spPr>
        <a:xfrm flipH="1" flipV="1">
          <a:off x="1857375" y="180975"/>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771526</xdr:colOff>
      <xdr:row>6</xdr:row>
      <xdr:rowOff>47626</xdr:rowOff>
    </xdr:from>
    <xdr:to>
      <xdr:col>3</xdr:col>
      <xdr:colOff>85725</xdr:colOff>
      <xdr:row>7</xdr:row>
      <xdr:rowOff>0</xdr:rowOff>
    </xdr:to>
    <xdr:cxnSp macro="">
      <xdr:nvCxnSpPr>
        <xdr:cNvPr id="43" name="Connecteur droit avec flèche 42"/>
        <xdr:cNvCxnSpPr/>
      </xdr:nvCxnSpPr>
      <xdr:spPr>
        <a:xfrm flipH="1" flipV="1">
          <a:off x="2447926" y="1019176"/>
          <a:ext cx="152399" cy="114299"/>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3</xdr:row>
      <xdr:rowOff>123825</xdr:rowOff>
    </xdr:from>
    <xdr:to>
      <xdr:col>3</xdr:col>
      <xdr:colOff>133350</xdr:colOff>
      <xdr:row>4</xdr:row>
      <xdr:rowOff>0</xdr:rowOff>
    </xdr:to>
    <xdr:cxnSp macro="">
      <xdr:nvCxnSpPr>
        <xdr:cNvPr id="48" name="Connecteur droit avec flèche 47"/>
        <xdr:cNvCxnSpPr/>
      </xdr:nvCxnSpPr>
      <xdr:spPr>
        <a:xfrm flipH="1">
          <a:off x="2457450" y="609600"/>
          <a:ext cx="190500" cy="3810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6</xdr:row>
      <xdr:rowOff>66675</xdr:rowOff>
    </xdr:from>
    <xdr:to>
      <xdr:col>2</xdr:col>
      <xdr:colOff>66675</xdr:colOff>
      <xdr:row>7</xdr:row>
      <xdr:rowOff>95250</xdr:rowOff>
    </xdr:to>
    <xdr:cxnSp macro="">
      <xdr:nvCxnSpPr>
        <xdr:cNvPr id="51" name="Connecteur droit avec flèche 50"/>
        <xdr:cNvCxnSpPr/>
      </xdr:nvCxnSpPr>
      <xdr:spPr>
        <a:xfrm flipH="1" flipV="1">
          <a:off x="1733550" y="1038225"/>
          <a:ext cx="9525" cy="19050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371476</xdr:colOff>
      <xdr:row>4</xdr:row>
      <xdr:rowOff>38099</xdr:rowOff>
    </xdr:from>
    <xdr:to>
      <xdr:col>7</xdr:col>
      <xdr:colOff>371476</xdr:colOff>
      <xdr:row>11</xdr:row>
      <xdr:rowOff>0</xdr:rowOff>
    </xdr:to>
    <xdr:grpSp>
      <xdr:nvGrpSpPr>
        <xdr:cNvPr id="84" name="Groupe 83"/>
        <xdr:cNvGrpSpPr/>
      </xdr:nvGrpSpPr>
      <xdr:grpSpPr>
        <a:xfrm>
          <a:off x="4562476" y="685799"/>
          <a:ext cx="1676400" cy="1095376"/>
          <a:chOff x="4562476" y="685799"/>
          <a:chExt cx="1676400" cy="1095376"/>
        </a:xfrm>
      </xdr:grpSpPr>
      <xdr:grpSp>
        <xdr:nvGrpSpPr>
          <xdr:cNvPr id="83" name="Groupe 82"/>
          <xdr:cNvGrpSpPr/>
        </xdr:nvGrpSpPr>
        <xdr:grpSpPr>
          <a:xfrm>
            <a:off x="4562476" y="685799"/>
            <a:ext cx="1676400" cy="1095376"/>
            <a:chOff x="4562476" y="685799"/>
            <a:chExt cx="1676400" cy="1095376"/>
          </a:xfrm>
        </xdr:grpSpPr>
        <xdr:sp macro="" textlink="">
          <xdr:nvSpPr>
            <xdr:cNvPr id="53" name="Rectangle 52"/>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4" name="Rectangle 53"/>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7" name="ZoneTexte 66"/>
            <xdr:cNvSpPr txBox="1"/>
          </xdr:nvSpPr>
          <xdr:spPr>
            <a:xfrm>
              <a:off x="4572000" y="800100"/>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aseline="30000"/>
                <a:t>Dsd</a:t>
              </a:r>
            </a:p>
          </xdr:txBody>
        </xdr:sp>
      </xdr:grpSp>
      <xdr:grpSp>
        <xdr:nvGrpSpPr>
          <xdr:cNvPr id="12" name="Groupe 11"/>
          <xdr:cNvGrpSpPr/>
        </xdr:nvGrpSpPr>
        <xdr:grpSpPr>
          <a:xfrm>
            <a:off x="5410199" y="828675"/>
            <a:ext cx="628651" cy="209550"/>
            <a:chOff x="2524124" y="600075"/>
            <a:chExt cx="447675" cy="133350"/>
          </a:xfrm>
        </xdr:grpSpPr>
        <xdr:sp macro="" textlink="">
          <xdr:nvSpPr>
            <xdr:cNvPr id="5" name="Rectangle 4"/>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7" name="Connecteur droit 6"/>
            <xdr:cNvCxnSpPr/>
          </xdr:nvCxnSpPr>
          <xdr:spPr>
            <a:xfrm>
              <a:off x="2619375"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314325</xdr:colOff>
      <xdr:row>8</xdr:row>
      <xdr:rowOff>95250</xdr:rowOff>
    </xdr:from>
    <xdr:to>
      <xdr:col>3</xdr:col>
      <xdr:colOff>314325</xdr:colOff>
      <xdr:row>9</xdr:row>
      <xdr:rowOff>0</xdr:rowOff>
    </xdr:to>
    <xdr:sp macro="" textlink="">
      <xdr:nvSpPr>
        <xdr:cNvPr id="85" name="Flèche gauche 84"/>
        <xdr:cNvSpPr/>
      </xdr:nvSpPr>
      <xdr:spPr>
        <a:xfrm>
          <a:off x="1990725" y="1390650"/>
          <a:ext cx="838200" cy="66675"/>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142875</xdr:colOff>
      <xdr:row>5</xdr:row>
      <xdr:rowOff>43543</xdr:rowOff>
    </xdr:from>
    <xdr:to>
      <xdr:col>5</xdr:col>
      <xdr:colOff>514351</xdr:colOff>
      <xdr:row>6</xdr:row>
      <xdr:rowOff>61232</xdr:rowOff>
    </xdr:to>
    <xdr:grpSp>
      <xdr:nvGrpSpPr>
        <xdr:cNvPr id="19" name="Groupe 18"/>
        <xdr:cNvGrpSpPr/>
      </xdr:nvGrpSpPr>
      <xdr:grpSpPr>
        <a:xfrm>
          <a:off x="4333875" y="853168"/>
          <a:ext cx="371476" cy="179614"/>
          <a:chOff x="2524124" y="838200"/>
          <a:chExt cx="628651" cy="209550"/>
        </a:xfrm>
      </xdr:grpSpPr>
      <xdr:sp macro="" textlink="">
        <xdr:nvSpPr>
          <xdr:cNvPr id="14" name="Rectangle 13"/>
          <xdr:cNvSpPr/>
        </xdr:nvSpPr>
        <xdr:spPr>
          <a:xfrm>
            <a:off x="2524125" y="853168"/>
            <a:ext cx="371476" cy="175532"/>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5" name="Connecteur droit 14"/>
          <xdr:cNvCxnSpPr/>
        </xdr:nvCxnSpPr>
        <xdr:spPr>
          <a:xfrm>
            <a:off x="265788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xdr:cNvCxnSpPr/>
        </xdr:nvCxnSpPr>
        <xdr:spPr>
          <a:xfrm>
            <a:off x="277826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504825</xdr:colOff>
      <xdr:row>7</xdr:row>
      <xdr:rowOff>95250</xdr:rowOff>
    </xdr:from>
    <xdr:to>
      <xdr:col>5</xdr:col>
      <xdr:colOff>609600</xdr:colOff>
      <xdr:row>7</xdr:row>
      <xdr:rowOff>152400</xdr:rowOff>
    </xdr:to>
    <xdr:sp macro="" textlink="">
      <xdr:nvSpPr>
        <xdr:cNvPr id="87" name="Rectangle 86"/>
        <xdr:cNvSpPr/>
      </xdr:nvSpPr>
      <xdr:spPr>
        <a:xfrm>
          <a:off x="4695825" y="1228725"/>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142875</xdr:colOff>
      <xdr:row>7</xdr:row>
      <xdr:rowOff>95250</xdr:rowOff>
    </xdr:from>
    <xdr:to>
      <xdr:col>6</xdr:col>
      <xdr:colOff>247650</xdr:colOff>
      <xdr:row>7</xdr:row>
      <xdr:rowOff>152400</xdr:rowOff>
    </xdr:to>
    <xdr:sp macro="" textlink="">
      <xdr:nvSpPr>
        <xdr:cNvPr id="88" name="Rectangle 87"/>
        <xdr:cNvSpPr/>
      </xdr:nvSpPr>
      <xdr:spPr>
        <a:xfrm>
          <a:off x="5172075" y="1228725"/>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609600</xdr:colOff>
      <xdr:row>6</xdr:row>
      <xdr:rowOff>19050</xdr:rowOff>
    </xdr:from>
    <xdr:to>
      <xdr:col>3</xdr:col>
      <xdr:colOff>619125</xdr:colOff>
      <xdr:row>8</xdr:row>
      <xdr:rowOff>38101</xdr:rowOff>
    </xdr:to>
    <xdr:cxnSp macro="">
      <xdr:nvCxnSpPr>
        <xdr:cNvPr id="89" name="Connecteur droit avec flèche 88"/>
        <xdr:cNvCxnSpPr/>
      </xdr:nvCxnSpPr>
      <xdr:spPr>
        <a:xfrm flipH="1" flipV="1">
          <a:off x="3124200" y="99060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5</xdr:row>
      <xdr:rowOff>28575</xdr:rowOff>
    </xdr:from>
    <xdr:to>
      <xdr:col>3</xdr:col>
      <xdr:colOff>495300</xdr:colOff>
      <xdr:row>7</xdr:row>
      <xdr:rowOff>47626</xdr:rowOff>
    </xdr:to>
    <xdr:cxnSp macro="">
      <xdr:nvCxnSpPr>
        <xdr:cNvPr id="92" name="Connecteur droit avec flèche 91"/>
        <xdr:cNvCxnSpPr/>
      </xdr:nvCxnSpPr>
      <xdr:spPr>
        <a:xfrm flipH="1" flipV="1">
          <a:off x="3000375" y="83820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809625</xdr:colOff>
      <xdr:row>6</xdr:row>
      <xdr:rowOff>66675</xdr:rowOff>
    </xdr:from>
    <xdr:to>
      <xdr:col>4</xdr:col>
      <xdr:colOff>400050</xdr:colOff>
      <xdr:row>6</xdr:row>
      <xdr:rowOff>142875</xdr:rowOff>
    </xdr:to>
    <xdr:sp macro="" textlink="">
      <xdr:nvSpPr>
        <xdr:cNvPr id="95" name="Flèche gauche 94"/>
        <xdr:cNvSpPr/>
      </xdr:nvSpPr>
      <xdr:spPr>
        <a:xfrm rot="10800000">
          <a:off x="3324225" y="1038225"/>
          <a:ext cx="428625" cy="76200"/>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342900</xdr:colOff>
      <xdr:row>8</xdr:row>
      <xdr:rowOff>104775</xdr:rowOff>
    </xdr:from>
    <xdr:to>
      <xdr:col>3</xdr:col>
      <xdr:colOff>371476</xdr:colOff>
      <xdr:row>9</xdr:row>
      <xdr:rowOff>152400</xdr:rowOff>
    </xdr:to>
    <xdr:cxnSp macro="">
      <xdr:nvCxnSpPr>
        <xdr:cNvPr id="96" name="Connecteur droit avec flèche 95"/>
        <xdr:cNvCxnSpPr/>
      </xdr:nvCxnSpPr>
      <xdr:spPr>
        <a:xfrm flipV="1">
          <a:off x="2857500" y="1400175"/>
          <a:ext cx="28576" cy="209550"/>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514351</xdr:colOff>
      <xdr:row>4</xdr:row>
      <xdr:rowOff>104775</xdr:rowOff>
    </xdr:from>
    <xdr:to>
      <xdr:col>3</xdr:col>
      <xdr:colOff>609600</xdr:colOff>
      <xdr:row>5</xdr:row>
      <xdr:rowOff>133350</xdr:rowOff>
    </xdr:to>
    <xdr:cxnSp macro="">
      <xdr:nvCxnSpPr>
        <xdr:cNvPr id="97" name="Connecteur droit avec flèche 96"/>
        <xdr:cNvCxnSpPr/>
      </xdr:nvCxnSpPr>
      <xdr:spPr>
        <a:xfrm flipH="1" flipV="1">
          <a:off x="3028951" y="752475"/>
          <a:ext cx="95249" cy="190500"/>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428625</xdr:colOff>
      <xdr:row>3</xdr:row>
      <xdr:rowOff>123824</xdr:rowOff>
    </xdr:from>
    <xdr:to>
      <xdr:col>3</xdr:col>
      <xdr:colOff>600076</xdr:colOff>
      <xdr:row>4</xdr:row>
      <xdr:rowOff>66675</xdr:rowOff>
    </xdr:to>
    <xdr:cxnSp macro="">
      <xdr:nvCxnSpPr>
        <xdr:cNvPr id="99" name="Connecteur droit avec flèche 98"/>
        <xdr:cNvCxnSpPr/>
      </xdr:nvCxnSpPr>
      <xdr:spPr>
        <a:xfrm flipH="1">
          <a:off x="2943225" y="609599"/>
          <a:ext cx="171451" cy="104776"/>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695324</xdr:colOff>
      <xdr:row>3</xdr:row>
      <xdr:rowOff>0</xdr:rowOff>
    </xdr:from>
    <xdr:to>
      <xdr:col>5</xdr:col>
      <xdr:colOff>790575</xdr:colOff>
      <xdr:row>4</xdr:row>
      <xdr:rowOff>28575</xdr:rowOff>
    </xdr:to>
    <xdr:sp macro="" textlink="">
      <xdr:nvSpPr>
        <xdr:cNvPr id="105" name="Rectangle 104"/>
        <xdr:cNvSpPr/>
      </xdr:nvSpPr>
      <xdr:spPr>
        <a:xfrm>
          <a:off x="4886324" y="4857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38099</xdr:colOff>
      <xdr:row>3</xdr:row>
      <xdr:rowOff>0</xdr:rowOff>
    </xdr:from>
    <xdr:to>
      <xdr:col>6</xdr:col>
      <xdr:colOff>133350</xdr:colOff>
      <xdr:row>4</xdr:row>
      <xdr:rowOff>28575</xdr:rowOff>
    </xdr:to>
    <xdr:sp macro="" textlink="">
      <xdr:nvSpPr>
        <xdr:cNvPr id="106" name="Rectangle 105"/>
        <xdr:cNvSpPr/>
      </xdr:nvSpPr>
      <xdr:spPr>
        <a:xfrm>
          <a:off x="5067299" y="4857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523875</xdr:colOff>
      <xdr:row>3</xdr:row>
      <xdr:rowOff>9525</xdr:rowOff>
    </xdr:from>
    <xdr:to>
      <xdr:col>5</xdr:col>
      <xdr:colOff>619126</xdr:colOff>
      <xdr:row>4</xdr:row>
      <xdr:rowOff>38100</xdr:rowOff>
    </xdr:to>
    <xdr:sp macro="" textlink="">
      <xdr:nvSpPr>
        <xdr:cNvPr id="107" name="Rectangle 106"/>
        <xdr:cNvSpPr/>
      </xdr:nvSpPr>
      <xdr:spPr>
        <a:xfrm>
          <a:off x="4714875" y="495300"/>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676274</xdr:colOff>
      <xdr:row>6</xdr:row>
      <xdr:rowOff>104775</xdr:rowOff>
    </xdr:from>
    <xdr:to>
      <xdr:col>6</xdr:col>
      <xdr:colOff>95249</xdr:colOff>
      <xdr:row>9</xdr:row>
      <xdr:rowOff>28575</xdr:rowOff>
    </xdr:to>
    <xdr:grpSp>
      <xdr:nvGrpSpPr>
        <xdr:cNvPr id="114" name="Groupe 113"/>
        <xdr:cNvGrpSpPr/>
      </xdr:nvGrpSpPr>
      <xdr:grpSpPr>
        <a:xfrm>
          <a:off x="4867274" y="1076325"/>
          <a:ext cx="257175" cy="409575"/>
          <a:chOff x="4867274" y="1076325"/>
          <a:chExt cx="257175" cy="409575"/>
        </a:xfrm>
      </xdr:grpSpPr>
      <xdr:sp macro="" textlink="">
        <xdr:nvSpPr>
          <xdr:cNvPr id="111" name="Rectangle 110"/>
          <xdr:cNvSpPr/>
        </xdr:nvSpPr>
        <xdr:spPr>
          <a:xfrm>
            <a:off x="4943476" y="1209675"/>
            <a:ext cx="95250" cy="123825"/>
          </a:xfrm>
          <a:prstGeom prst="rect">
            <a:avLst/>
          </a:prstGeom>
          <a:solidFill>
            <a:sysClr val="window" lastClr="FFFFFF"/>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12" name="Connecteur droit avec flèche 111"/>
          <xdr:cNvCxnSpPr/>
        </xdr:nvCxnSpPr>
        <xdr:spPr>
          <a:xfrm flipH="1" flipV="1">
            <a:off x="4991100" y="1076325"/>
            <a:ext cx="9525" cy="34290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3" name="ZoneTexte 112"/>
          <xdr:cNvSpPr txBox="1"/>
        </xdr:nvSpPr>
        <xdr:spPr>
          <a:xfrm flipH="1">
            <a:off x="4867274" y="1123950"/>
            <a:ext cx="2571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accent6">
                    <a:lumMod val="50000"/>
                  </a:schemeClr>
                </a:solidFill>
              </a:rPr>
              <a:t>x</a:t>
            </a:r>
          </a:p>
        </xdr:txBody>
      </xdr:sp>
    </xdr:grpSp>
    <xdr:clientData/>
  </xdr:twoCellAnchor>
  <xdr:twoCellAnchor>
    <xdr:from>
      <xdr:col>5</xdr:col>
      <xdr:colOff>371475</xdr:colOff>
      <xdr:row>6</xdr:row>
      <xdr:rowOff>104775</xdr:rowOff>
    </xdr:from>
    <xdr:to>
      <xdr:col>5</xdr:col>
      <xdr:colOff>685800</xdr:colOff>
      <xdr:row>7</xdr:row>
      <xdr:rowOff>123825</xdr:rowOff>
    </xdr:to>
    <xdr:sp macro="" textlink="">
      <xdr:nvSpPr>
        <xdr:cNvPr id="3" name="Rectangle 2"/>
        <xdr:cNvSpPr/>
      </xdr:nvSpPr>
      <xdr:spPr>
        <a:xfrm>
          <a:off x="4562475" y="1076325"/>
          <a:ext cx="314325" cy="180975"/>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466725</xdr:colOff>
      <xdr:row>6</xdr:row>
      <xdr:rowOff>95250</xdr:rowOff>
    </xdr:from>
    <xdr:to>
      <xdr:col>5</xdr:col>
      <xdr:colOff>574725</xdr:colOff>
      <xdr:row>6</xdr:row>
      <xdr:rowOff>95250</xdr:rowOff>
    </xdr:to>
    <xdr:cxnSp macro="">
      <xdr:nvCxnSpPr>
        <xdr:cNvPr id="11" name="Connecteur droit 10"/>
        <xdr:cNvCxnSpPr/>
      </xdr:nvCxnSpPr>
      <xdr:spPr>
        <a:xfrm flipH="1">
          <a:off x="4657725" y="1066800"/>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16"/>
  <sheetViews>
    <sheetView showGridLines="0" tabSelected="1" view="pageBreakPreview" topLeftCell="A13" zoomScale="85" zoomScaleNormal="80" zoomScaleSheetLayoutView="85" workbookViewId="0">
      <selection activeCell="D4" sqref="D4:F4"/>
    </sheetView>
  </sheetViews>
  <sheetFormatPr baseColWidth="10" defaultRowHeight="11.25" x14ac:dyDescent="0.2"/>
  <cols>
    <col min="1" max="1" width="1.625" style="2" customWidth="1"/>
    <col min="2" max="2" width="2.25" style="2" customWidth="1"/>
    <col min="3" max="3" width="53.625" style="2" customWidth="1"/>
    <col min="4" max="4" width="13" style="2" customWidth="1"/>
    <col min="5" max="5" width="9.5" style="11" customWidth="1"/>
    <col min="6" max="6" width="14.125" style="11" customWidth="1"/>
    <col min="7" max="7" width="77.625" style="19" customWidth="1"/>
    <col min="8" max="8" width="2.25" style="19" customWidth="1"/>
    <col min="9" max="9" width="2.625" style="2" customWidth="1"/>
    <col min="10" max="10" width="11" style="2" customWidth="1"/>
    <col min="11" max="13" width="11" style="2"/>
    <col min="14" max="14" width="13.5" style="2" customWidth="1"/>
    <col min="15" max="17" width="2" style="2" customWidth="1"/>
    <col min="18" max="18" width="30.375" style="2" customWidth="1"/>
    <col min="19" max="16384" width="11" style="2"/>
  </cols>
  <sheetData>
    <row r="1" spans="1:18" s="63" customFormat="1" ht="90" customHeight="1" x14ac:dyDescent="0.2">
      <c r="A1" s="66"/>
      <c r="B1" s="67"/>
      <c r="C1" s="67"/>
      <c r="D1" s="277" t="s">
        <v>171</v>
      </c>
      <c r="E1" s="278"/>
      <c r="F1" s="278"/>
      <c r="G1" s="278"/>
      <c r="H1" s="278"/>
      <c r="I1" s="279"/>
      <c r="P1" s="273" t="s">
        <v>160</v>
      </c>
      <c r="Q1" s="273" t="s">
        <v>161</v>
      </c>
    </row>
    <row r="2" spans="1:18" ht="13.5" customHeight="1" x14ac:dyDescent="0.2">
      <c r="A2" s="68"/>
      <c r="B2" s="152" t="s">
        <v>77</v>
      </c>
      <c r="C2" s="69"/>
      <c r="D2" s="69"/>
      <c r="E2" s="70"/>
      <c r="F2" s="70"/>
      <c r="G2" s="71"/>
      <c r="H2" s="71"/>
      <c r="I2" s="72"/>
      <c r="O2" s="273" t="s">
        <v>162</v>
      </c>
      <c r="P2" s="274">
        <f>+SUM(D66:F66)</f>
        <v>240</v>
      </c>
      <c r="Q2" s="273"/>
    </row>
    <row r="3" spans="1:18" s="63" customFormat="1" ht="8.25" customHeight="1" x14ac:dyDescent="0.2">
      <c r="A3" s="92"/>
      <c r="B3" s="114"/>
      <c r="C3" s="115"/>
      <c r="D3" s="115"/>
      <c r="E3" s="115"/>
      <c r="F3" s="115"/>
      <c r="G3" s="115"/>
      <c r="H3" s="116"/>
      <c r="I3" s="96"/>
      <c r="O3" s="273" t="s">
        <v>163</v>
      </c>
      <c r="P3" s="274">
        <f>+SUM(D83:F83)</f>
        <v>240</v>
      </c>
      <c r="Q3" s="273"/>
    </row>
    <row r="4" spans="1:18" s="63" customFormat="1" ht="20.25" customHeight="1" x14ac:dyDescent="0.2">
      <c r="A4" s="92"/>
      <c r="B4" s="117"/>
      <c r="C4" s="1" t="s">
        <v>170</v>
      </c>
      <c r="D4" s="296"/>
      <c r="E4" s="297"/>
      <c r="F4" s="298"/>
      <c r="G4" s="155" t="s">
        <v>76</v>
      </c>
      <c r="H4" s="118"/>
      <c r="I4" s="96"/>
      <c r="O4" s="273" t="s">
        <v>164</v>
      </c>
      <c r="P4" s="273">
        <f>+Dectotal</f>
        <v>3600</v>
      </c>
      <c r="Q4" s="273"/>
    </row>
    <row r="5" spans="1:18" s="63" customFormat="1" ht="8.25" customHeight="1" x14ac:dyDescent="0.2">
      <c r="A5" s="92"/>
      <c r="B5" s="117"/>
      <c r="C5" s="65"/>
      <c r="D5" s="65"/>
      <c r="E5" s="65"/>
      <c r="F5" s="65"/>
      <c r="G5" s="65"/>
      <c r="H5" s="118"/>
      <c r="I5" s="96"/>
      <c r="O5" s="273" t="s">
        <v>165</v>
      </c>
      <c r="P5" s="273">
        <f>+Dea</f>
        <v>0</v>
      </c>
      <c r="Q5" s="273"/>
    </row>
    <row r="6" spans="1:18" s="63" customFormat="1" ht="23.25" customHeight="1" x14ac:dyDescent="0.2">
      <c r="A6" s="92"/>
      <c r="B6" s="117"/>
      <c r="C6" s="1" t="s">
        <v>41</v>
      </c>
      <c r="D6" s="308"/>
      <c r="E6" s="309"/>
      <c r="F6" s="309"/>
      <c r="G6" s="310"/>
      <c r="H6" s="118"/>
      <c r="I6" s="97"/>
      <c r="O6" s="273" t="s">
        <v>166</v>
      </c>
      <c r="P6" s="273">
        <f>+DEnm</f>
        <v>300</v>
      </c>
      <c r="Q6" s="273">
        <v>0</v>
      </c>
      <c r="R6" s="275"/>
    </row>
    <row r="7" spans="1:18" s="63" customFormat="1" ht="8.25" customHeight="1" x14ac:dyDescent="0.2">
      <c r="A7" s="92"/>
      <c r="B7" s="117"/>
      <c r="C7" s="65"/>
      <c r="D7" s="65"/>
      <c r="E7" s="65"/>
      <c r="F7" s="65"/>
      <c r="G7" s="65"/>
      <c r="H7" s="118"/>
      <c r="I7" s="96"/>
      <c r="O7" s="273" t="s">
        <v>167</v>
      </c>
      <c r="P7" s="273">
        <f>+D190*E190</f>
        <v>5000</v>
      </c>
      <c r="Q7" s="273"/>
    </row>
    <row r="8" spans="1:18" s="63" customFormat="1" ht="22.5" customHeight="1" x14ac:dyDescent="0.2">
      <c r="A8" s="92"/>
      <c r="B8" s="117"/>
      <c r="C8" s="1" t="s">
        <v>38</v>
      </c>
      <c r="D8" s="311"/>
      <c r="E8" s="309"/>
      <c r="F8" s="309"/>
      <c r="G8" s="310"/>
      <c r="H8" s="118"/>
      <c r="I8" s="97"/>
      <c r="O8" s="273" t="s">
        <v>169</v>
      </c>
      <c r="P8" s="273"/>
      <c r="Q8" s="274">
        <f>+D167</f>
        <v>4800</v>
      </c>
    </row>
    <row r="9" spans="1:18" s="63" customFormat="1" ht="8.25" customHeight="1" x14ac:dyDescent="0.2">
      <c r="A9" s="92"/>
      <c r="B9" s="117"/>
      <c r="C9" s="65"/>
      <c r="D9" s="65"/>
      <c r="E9" s="65"/>
      <c r="F9" s="65"/>
      <c r="G9" s="65"/>
      <c r="H9" s="118"/>
      <c r="I9" s="96"/>
      <c r="O9" s="273" t="s">
        <v>168</v>
      </c>
      <c r="P9" s="273"/>
      <c r="Q9" s="274">
        <f>+D164-D167</f>
        <v>1200</v>
      </c>
    </row>
    <row r="10" spans="1:18" s="63" customFormat="1" ht="25.5" customHeight="1" x14ac:dyDescent="0.2">
      <c r="A10" s="92"/>
      <c r="B10" s="117"/>
      <c r="C10" s="1" t="s">
        <v>42</v>
      </c>
      <c r="D10" s="312"/>
      <c r="E10" s="313"/>
      <c r="F10" s="193" t="s">
        <v>121</v>
      </c>
      <c r="G10" s="321"/>
      <c r="H10" s="118"/>
      <c r="I10" s="97"/>
      <c r="O10" s="273" t="s">
        <v>159</v>
      </c>
      <c r="P10" s="273"/>
      <c r="Q10" s="274">
        <f>+D186*E186</f>
        <v>2500</v>
      </c>
    </row>
    <row r="11" spans="1:18" s="63" customFormat="1" ht="8.25" customHeight="1" x14ac:dyDescent="0.2">
      <c r="A11" s="92"/>
      <c r="B11" s="117"/>
      <c r="C11" s="65"/>
      <c r="D11" s="65"/>
      <c r="E11" s="65"/>
      <c r="F11" s="65"/>
      <c r="G11" s="322"/>
      <c r="H11" s="118"/>
      <c r="I11" s="96"/>
    </row>
    <row r="12" spans="1:18" s="63" customFormat="1" ht="24.75" customHeight="1" x14ac:dyDescent="0.2">
      <c r="A12" s="92"/>
      <c r="B12" s="117"/>
      <c r="C12" s="1" t="s">
        <v>43</v>
      </c>
      <c r="D12" s="312"/>
      <c r="E12" s="313"/>
      <c r="F12" s="190"/>
      <c r="G12" s="323"/>
      <c r="H12" s="118"/>
      <c r="I12" s="97"/>
    </row>
    <row r="13" spans="1:18" s="63" customFormat="1" ht="8.25" customHeight="1" x14ac:dyDescent="0.2">
      <c r="A13" s="92"/>
      <c r="B13" s="119"/>
      <c r="C13" s="120"/>
      <c r="D13" s="120"/>
      <c r="E13" s="120"/>
      <c r="F13" s="120"/>
      <c r="G13" s="120"/>
      <c r="H13" s="121"/>
      <c r="I13" s="96"/>
    </row>
    <row r="14" spans="1:18" s="63" customFormat="1" ht="16.5" customHeight="1" x14ac:dyDescent="0.2">
      <c r="A14" s="92"/>
      <c r="B14" s="112"/>
      <c r="C14" s="113"/>
      <c r="D14" s="113"/>
      <c r="E14" s="113"/>
      <c r="F14" s="113"/>
      <c r="G14" s="113"/>
      <c r="H14" s="113"/>
      <c r="I14" s="96"/>
      <c r="O14" s="2"/>
      <c r="P14" s="2"/>
      <c r="Q14" s="2"/>
    </row>
    <row r="15" spans="1:18" x14ac:dyDescent="0.2">
      <c r="A15" s="75"/>
      <c r="B15" s="108"/>
      <c r="C15" s="109"/>
      <c r="D15" s="109"/>
      <c r="E15" s="110"/>
      <c r="F15" s="110"/>
      <c r="G15" s="111"/>
      <c r="H15" s="122"/>
      <c r="I15" s="81"/>
    </row>
    <row r="16" spans="1:18" ht="18" customHeight="1" x14ac:dyDescent="0.2">
      <c r="A16" s="75"/>
      <c r="B16" s="104"/>
      <c r="C16" s="299" t="s">
        <v>44</v>
      </c>
      <c r="D16" s="300"/>
      <c r="E16" s="300"/>
      <c r="F16" s="301"/>
      <c r="G16" s="200"/>
      <c r="H16" s="105"/>
      <c r="I16" s="81"/>
    </row>
    <row r="17" spans="1:9" ht="4.5" customHeight="1" x14ac:dyDescent="0.2">
      <c r="A17" s="75"/>
      <c r="B17" s="104"/>
      <c r="C17" s="208"/>
      <c r="D17" s="209"/>
      <c r="E17" s="210" t="b">
        <f>+IF(F17=TRUE,FALSE,TRUE)</f>
        <v>0</v>
      </c>
      <c r="F17" s="211" t="b">
        <v>1</v>
      </c>
      <c r="G17" s="212"/>
      <c r="H17" s="123"/>
      <c r="I17" s="81"/>
    </row>
    <row r="18" spans="1:9" ht="18" customHeight="1" x14ac:dyDescent="0.2">
      <c r="A18" s="75"/>
      <c r="B18" s="104"/>
      <c r="C18" s="340" t="s">
        <v>45</v>
      </c>
      <c r="D18" s="341"/>
      <c r="E18" s="341"/>
      <c r="F18" s="342"/>
      <c r="G18" s="213"/>
      <c r="H18" s="105"/>
      <c r="I18" s="81"/>
    </row>
    <row r="19" spans="1:9" ht="3.75" customHeight="1" x14ac:dyDescent="0.2">
      <c r="A19" s="75"/>
      <c r="B19" s="104"/>
      <c r="C19" s="208"/>
      <c r="D19" s="209"/>
      <c r="E19" s="210" t="b">
        <f>+IF(F19=TRUE,FALSE,TRUE)</f>
        <v>0</v>
      </c>
      <c r="F19" s="211" t="b">
        <v>1</v>
      </c>
      <c r="G19" s="212"/>
      <c r="H19" s="123"/>
      <c r="I19" s="81"/>
    </row>
    <row r="20" spans="1:9" ht="31.5" customHeight="1" x14ac:dyDescent="0.2">
      <c r="A20" s="75"/>
      <c r="B20" s="104"/>
      <c r="C20" s="348" t="s">
        <v>130</v>
      </c>
      <c r="D20" s="295"/>
      <c r="E20" s="295"/>
      <c r="F20" s="349"/>
      <c r="G20" s="204"/>
      <c r="H20" s="123"/>
      <c r="I20" s="81"/>
    </row>
    <row r="21" spans="1:9" ht="3.75" customHeight="1" x14ac:dyDescent="0.2">
      <c r="A21" s="75"/>
      <c r="B21" s="104"/>
      <c r="C21" s="202"/>
      <c r="D21" s="203"/>
      <c r="E21" s="205" t="b">
        <f>+IF(F21=TRUE,FALSE,TRUE)</f>
        <v>0</v>
      </c>
      <c r="F21" s="206" t="b">
        <v>1</v>
      </c>
      <c r="G21" s="201"/>
      <c r="H21" s="123"/>
      <c r="I21" s="81"/>
    </row>
    <row r="22" spans="1:9" ht="12.75" customHeight="1" x14ac:dyDescent="0.2">
      <c r="A22" s="75"/>
      <c r="B22" s="106"/>
      <c r="C22" s="346"/>
      <c r="D22" s="347"/>
      <c r="E22" s="347"/>
      <c r="F22" s="347"/>
      <c r="G22" s="120"/>
      <c r="H22" s="107"/>
      <c r="I22" s="81"/>
    </row>
    <row r="23" spans="1:9" ht="9.75" customHeight="1" x14ac:dyDescent="0.2">
      <c r="A23" s="75"/>
      <c r="B23" s="69"/>
      <c r="C23" s="69"/>
      <c r="D23" s="69"/>
      <c r="E23" s="69"/>
      <c r="F23" s="69"/>
      <c r="G23" s="69"/>
      <c r="H23" s="69"/>
      <c r="I23" s="81"/>
    </row>
    <row r="24" spans="1:9" ht="22.5" customHeight="1" x14ac:dyDescent="0.2">
      <c r="A24" s="75"/>
      <c r="B24" s="23"/>
      <c r="C24" s="292" t="s">
        <v>54</v>
      </c>
      <c r="D24" s="293"/>
      <c r="E24" s="293"/>
      <c r="F24" s="293"/>
      <c r="G24" s="293"/>
      <c r="H24" s="25"/>
      <c r="I24" s="81"/>
    </row>
    <row r="25" spans="1:9" ht="12.75" customHeight="1" x14ac:dyDescent="0.2">
      <c r="A25" s="75"/>
      <c r="B25" s="28"/>
      <c r="C25" s="1"/>
      <c r="D25" s="3"/>
      <c r="E25" s="73"/>
      <c r="F25" s="73"/>
      <c r="G25" s="20"/>
      <c r="H25" s="27"/>
      <c r="I25" s="81"/>
    </row>
    <row r="26" spans="1:9" ht="12.75" customHeight="1" x14ac:dyDescent="0.2">
      <c r="A26" s="75"/>
      <c r="B26" s="28"/>
      <c r="C26" s="1"/>
      <c r="D26" s="183" t="s">
        <v>92</v>
      </c>
      <c r="E26" s="183" t="s">
        <v>93</v>
      </c>
      <c r="F26" s="183" t="s">
        <v>94</v>
      </c>
      <c r="G26" s="155"/>
      <c r="H26" s="27"/>
      <c r="I26" s="81"/>
    </row>
    <row r="27" spans="1:9" ht="12.75" customHeight="1" x14ac:dyDescent="0.2">
      <c r="A27" s="75"/>
      <c r="B27" s="28"/>
      <c r="C27" s="181" t="s">
        <v>95</v>
      </c>
      <c r="D27" s="133">
        <v>5</v>
      </c>
      <c r="E27" s="133">
        <v>5</v>
      </c>
      <c r="F27" s="133">
        <v>0</v>
      </c>
      <c r="G27" s="176"/>
      <c r="H27" s="27"/>
      <c r="I27" s="81"/>
    </row>
    <row r="28" spans="1:9" ht="12.75" customHeight="1" x14ac:dyDescent="0.2">
      <c r="A28" s="75"/>
      <c r="B28" s="28"/>
      <c r="C28" s="181" t="s">
        <v>96</v>
      </c>
      <c r="D28" s="133">
        <v>10</v>
      </c>
      <c r="E28" s="133">
        <v>10</v>
      </c>
      <c r="F28" s="133">
        <v>0</v>
      </c>
      <c r="G28" s="176"/>
      <c r="H28" s="27"/>
      <c r="I28" s="81"/>
    </row>
    <row r="29" spans="1:9" ht="12.75" customHeight="1" x14ac:dyDescent="0.2">
      <c r="A29" s="75"/>
      <c r="B29" s="28"/>
      <c r="C29" s="181" t="s">
        <v>97</v>
      </c>
      <c r="D29" s="133">
        <v>5</v>
      </c>
      <c r="E29" s="133">
        <v>5</v>
      </c>
      <c r="F29" s="133">
        <v>0</v>
      </c>
      <c r="G29" s="176"/>
      <c r="H29" s="27"/>
      <c r="I29" s="81"/>
    </row>
    <row r="30" spans="1:9" ht="17.25" customHeight="1" x14ac:dyDescent="0.2">
      <c r="A30" s="75"/>
      <c r="B30" s="28"/>
      <c r="C30" s="181" t="s">
        <v>98</v>
      </c>
      <c r="D30" s="189">
        <f>D27*D28*D29</f>
        <v>250</v>
      </c>
      <c r="E30" s="189">
        <f t="shared" ref="E30:F30" si="0">E27*E28*E29</f>
        <v>250</v>
      </c>
      <c r="F30" s="189">
        <f t="shared" si="0"/>
        <v>0</v>
      </c>
      <c r="G30" s="176"/>
      <c r="H30" s="27"/>
      <c r="I30" s="81"/>
    </row>
    <row r="31" spans="1:9" ht="7.5" customHeight="1" x14ac:dyDescent="0.2">
      <c r="A31" s="75"/>
      <c r="B31" s="28"/>
      <c r="C31" s="178"/>
      <c r="D31" s="3"/>
      <c r="E31" s="73"/>
      <c r="F31" s="73"/>
      <c r="G31" s="176"/>
      <c r="H31" s="27"/>
      <c r="I31" s="81"/>
    </row>
    <row r="32" spans="1:9" ht="24.75" customHeight="1" x14ac:dyDescent="0.2">
      <c r="A32" s="93"/>
      <c r="B32" s="29"/>
      <c r="C32" s="5" t="s">
        <v>122</v>
      </c>
      <c r="D32" s="195">
        <f>+D30+E30+F30</f>
        <v>500</v>
      </c>
      <c r="E32" s="4" t="s">
        <v>7</v>
      </c>
      <c r="F32" s="73"/>
      <c r="G32" s="20"/>
      <c r="H32" s="27"/>
      <c r="I32" s="81"/>
    </row>
    <row r="33" spans="1:24" ht="3.75" customHeight="1" x14ac:dyDescent="0.2">
      <c r="A33" s="75"/>
      <c r="B33" s="28"/>
      <c r="C33" s="148"/>
      <c r="D33" s="149"/>
      <c r="E33" s="150"/>
      <c r="F33" s="73"/>
      <c r="G33" s="138"/>
      <c r="H33" s="27"/>
      <c r="I33" s="81"/>
    </row>
    <row r="34" spans="1:24" ht="15.75" customHeight="1" x14ac:dyDescent="0.2">
      <c r="A34" s="75"/>
      <c r="B34" s="30"/>
      <c r="C34" s="139" t="s">
        <v>23</v>
      </c>
      <c r="D34" s="38"/>
      <c r="E34" s="39"/>
      <c r="F34" s="39"/>
      <c r="G34" s="41"/>
      <c r="H34" s="33"/>
      <c r="I34" s="81"/>
    </row>
    <row r="35" spans="1:24" x14ac:dyDescent="0.2">
      <c r="A35" s="75"/>
      <c r="B35" s="76"/>
      <c r="C35" s="77"/>
      <c r="D35" s="78"/>
      <c r="E35" s="79"/>
      <c r="F35" s="79"/>
      <c r="G35" s="80"/>
      <c r="H35" s="80"/>
      <c r="I35" s="81"/>
    </row>
    <row r="36" spans="1:24" ht="20.25" customHeight="1" x14ac:dyDescent="0.2">
      <c r="A36" s="75"/>
      <c r="B36" s="23"/>
      <c r="C36" s="292" t="s">
        <v>55</v>
      </c>
      <c r="D36" s="293"/>
      <c r="E36" s="293"/>
      <c r="F36" s="293"/>
      <c r="G36" s="293"/>
      <c r="H36" s="25"/>
      <c r="I36" s="81"/>
    </row>
    <row r="37" spans="1:24" ht="15" customHeight="1" x14ac:dyDescent="0.2">
      <c r="A37" s="75"/>
      <c r="B37" s="28"/>
      <c r="C37" s="126"/>
      <c r="D37" s="3"/>
      <c r="E37" s="73"/>
      <c r="F37" s="73"/>
      <c r="G37" s="20"/>
      <c r="H37" s="27"/>
      <c r="I37" s="81"/>
    </row>
    <row r="38" spans="1:24" ht="21" customHeight="1" x14ac:dyDescent="0.2">
      <c r="A38" s="75"/>
      <c r="B38" s="26"/>
      <c r="C38" s="5" t="s">
        <v>16</v>
      </c>
      <c r="D38" s="49">
        <v>1</v>
      </c>
      <c r="E38" s="21"/>
      <c r="F38" s="73"/>
      <c r="G38" s="9"/>
      <c r="H38" s="27"/>
      <c r="I38" s="81"/>
    </row>
    <row r="39" spans="1:24" ht="15.75" customHeight="1" x14ac:dyDescent="0.2">
      <c r="A39" s="75"/>
      <c r="B39" s="29"/>
      <c r="C39" s="5" t="s">
        <v>10</v>
      </c>
      <c r="D39" s="50">
        <v>6</v>
      </c>
      <c r="E39" s="4" t="s">
        <v>2</v>
      </c>
      <c r="F39" s="215" t="str">
        <f>+IF(D38=1,IF(Y&gt;5.99,"OK","non OK"),IF(D38=2,IF(Y=10,"OK","non OK")))</f>
        <v>OK</v>
      </c>
      <c r="G39" s="9" t="str">
        <f>+CONCATENATE("Pour le niveau d'empousièrement, le taux de renouvellement d'air doit être a minima de ",IF($D38=0,"",VLOOKUP($D38,niveau,3,FALSE)))</f>
        <v>Pour le niveau d'empousièrement, le taux de renouvellement d'air doit être a minima de 6</v>
      </c>
      <c r="H39" s="27"/>
      <c r="I39" s="98"/>
    </row>
    <row r="40" spans="1:24" ht="15.75" customHeight="1" x14ac:dyDescent="0.2">
      <c r="A40" s="75"/>
      <c r="B40" s="35"/>
      <c r="C40" s="130"/>
      <c r="D40" s="73"/>
      <c r="E40" s="73"/>
      <c r="F40" s="73"/>
      <c r="G40" s="160"/>
      <c r="H40" s="27"/>
      <c r="I40" s="98"/>
    </row>
    <row r="41" spans="1:24" ht="15.75" customHeight="1" x14ac:dyDescent="0.2">
      <c r="A41" s="75"/>
      <c r="B41" s="35"/>
      <c r="C41" s="1"/>
      <c r="D41" s="147" t="s">
        <v>92</v>
      </c>
      <c r="E41" s="147" t="s">
        <v>93</v>
      </c>
      <c r="F41" s="147" t="s">
        <v>94</v>
      </c>
      <c r="G41" s="160"/>
      <c r="H41" s="27"/>
      <c r="I41" s="98"/>
    </row>
    <row r="42" spans="1:24" ht="15.75" customHeight="1" x14ac:dyDescent="0.2">
      <c r="A42" s="75"/>
      <c r="B42" s="35"/>
      <c r="C42" s="181" t="s">
        <v>99</v>
      </c>
      <c r="D42" s="189">
        <f>+D30*Y</f>
        <v>1500</v>
      </c>
      <c r="E42" s="189">
        <f>+E30*Y</f>
        <v>1500</v>
      </c>
      <c r="F42" s="189">
        <f>+F30*Y</f>
        <v>0</v>
      </c>
      <c r="G42" s="160"/>
      <c r="H42" s="27"/>
      <c r="I42" s="98"/>
    </row>
    <row r="43" spans="1:24" x14ac:dyDescent="0.2">
      <c r="A43" s="75"/>
      <c r="B43" s="30"/>
      <c r="C43" s="37"/>
      <c r="D43" s="38"/>
      <c r="E43" s="39"/>
      <c r="F43" s="39"/>
      <c r="G43" s="41"/>
      <c r="H43" s="33"/>
      <c r="I43" s="81"/>
      <c r="O43" s="47"/>
      <c r="P43" s="47"/>
      <c r="Q43" s="47"/>
      <c r="X43" s="2">
        <v>630</v>
      </c>
    </row>
    <row r="44" spans="1:24" s="47" customFormat="1" ht="6.75" customHeight="1" x14ac:dyDescent="0.2">
      <c r="A44" s="75"/>
      <c r="B44" s="76"/>
      <c r="C44" s="77"/>
      <c r="D44" s="78"/>
      <c r="E44" s="79"/>
      <c r="F44" s="79"/>
      <c r="G44" s="80"/>
      <c r="H44" s="46"/>
      <c r="I44" s="81"/>
      <c r="O44" s="2"/>
      <c r="P44" s="2"/>
      <c r="Q44" s="2"/>
    </row>
    <row r="45" spans="1:24" ht="21.75" customHeight="1" x14ac:dyDescent="0.2">
      <c r="A45" s="75"/>
      <c r="B45" s="23"/>
      <c r="C45" s="292" t="s">
        <v>35</v>
      </c>
      <c r="D45" s="293"/>
      <c r="E45" s="293"/>
      <c r="F45" s="293"/>
      <c r="G45" s="293"/>
      <c r="H45" s="25"/>
      <c r="I45" s="81"/>
    </row>
    <row r="46" spans="1:24" ht="12.75" customHeight="1" x14ac:dyDescent="0.2">
      <c r="A46" s="75"/>
      <c r="B46" s="28"/>
      <c r="C46" s="1"/>
      <c r="D46" s="3"/>
      <c r="E46" s="73"/>
      <c r="F46" s="73"/>
      <c r="G46" s="20"/>
      <c r="H46" s="27"/>
      <c r="I46" s="81"/>
    </row>
    <row r="47" spans="1:24" ht="12.75" customHeight="1" x14ac:dyDescent="0.2">
      <c r="A47" s="75"/>
      <c r="B47" s="29"/>
      <c r="C47" s="5" t="s">
        <v>6</v>
      </c>
      <c r="D47" s="50">
        <v>20</v>
      </c>
      <c r="E47" s="4" t="s">
        <v>0</v>
      </c>
      <c r="F47" s="343" t="s">
        <v>36</v>
      </c>
      <c r="G47" s="344"/>
      <c r="H47" s="27"/>
      <c r="I47" s="98"/>
    </row>
    <row r="48" spans="1:24" ht="13.5" customHeight="1" x14ac:dyDescent="0.2">
      <c r="A48" s="75"/>
      <c r="B48" s="30"/>
      <c r="C48" s="31"/>
      <c r="D48" s="32"/>
      <c r="E48" s="32"/>
      <c r="F48" s="32"/>
      <c r="G48" s="41"/>
      <c r="H48" s="57"/>
      <c r="I48" s="81"/>
      <c r="O48" s="47"/>
      <c r="P48" s="47"/>
      <c r="Q48" s="47"/>
    </row>
    <row r="49" spans="1:17" s="47" customFormat="1" ht="8.25" customHeight="1" x14ac:dyDescent="0.2">
      <c r="A49" s="75"/>
      <c r="B49" s="76"/>
      <c r="C49" s="102"/>
      <c r="D49" s="103"/>
      <c r="E49" s="103"/>
      <c r="F49" s="103"/>
      <c r="G49" s="80"/>
      <c r="H49" s="80"/>
      <c r="I49" s="81"/>
      <c r="O49" s="2"/>
      <c r="P49" s="2"/>
      <c r="Q49" s="2"/>
    </row>
    <row r="50" spans="1:17" ht="18.75" customHeight="1" x14ac:dyDescent="0.2">
      <c r="A50" s="75"/>
      <c r="B50" s="23"/>
      <c r="C50" s="292" t="s">
        <v>56</v>
      </c>
      <c r="D50" s="293"/>
      <c r="E50" s="293"/>
      <c r="F50" s="293"/>
      <c r="G50" s="293"/>
      <c r="H50" s="25"/>
      <c r="I50" s="81"/>
    </row>
    <row r="51" spans="1:17" ht="16.5" customHeight="1" x14ac:dyDescent="0.2">
      <c r="A51" s="75"/>
      <c r="B51" s="28"/>
      <c r="C51" s="1" t="s">
        <v>33</v>
      </c>
      <c r="D51" s="125"/>
      <c r="E51" s="125"/>
      <c r="F51" s="73"/>
      <c r="G51" s="20"/>
      <c r="H51" s="27"/>
      <c r="I51" s="81"/>
    </row>
    <row r="52" spans="1:17" ht="28.5" customHeight="1" x14ac:dyDescent="0.2">
      <c r="A52" s="75"/>
      <c r="B52" s="28"/>
      <c r="C52" s="128" t="s">
        <v>90</v>
      </c>
      <c r="D52" s="50">
        <v>2</v>
      </c>
      <c r="E52" s="4" t="s">
        <v>4</v>
      </c>
      <c r="F52" s="343" t="s">
        <v>87</v>
      </c>
      <c r="G52" s="344"/>
      <c r="H52" s="27"/>
      <c r="I52" s="81"/>
    </row>
    <row r="53" spans="1:17" ht="16.5" customHeight="1" x14ac:dyDescent="0.2">
      <c r="A53" s="75"/>
      <c r="B53" s="28"/>
      <c r="C53" s="73"/>
      <c r="D53" s="73"/>
      <c r="E53" s="73"/>
      <c r="F53" s="73"/>
      <c r="G53" s="43"/>
      <c r="H53" s="27"/>
      <c r="I53" s="81"/>
    </row>
    <row r="54" spans="1:17" ht="30.75" customHeight="1" x14ac:dyDescent="0.2">
      <c r="A54" s="93"/>
      <c r="B54" s="35"/>
      <c r="C54" s="128" t="s">
        <v>101</v>
      </c>
      <c r="D54" s="189">
        <v>3</v>
      </c>
      <c r="E54" s="179" t="s">
        <v>3</v>
      </c>
      <c r="F54" s="343" t="s">
        <v>46</v>
      </c>
      <c r="G54" s="344"/>
      <c r="H54" s="27"/>
      <c r="I54" s="81"/>
    </row>
    <row r="55" spans="1:17" ht="16.5" customHeight="1" x14ac:dyDescent="0.2">
      <c r="A55" s="93"/>
      <c r="B55" s="35"/>
      <c r="C55" s="7" t="s">
        <v>102</v>
      </c>
      <c r="D55" s="169">
        <v>10</v>
      </c>
      <c r="E55" s="13" t="s">
        <v>85</v>
      </c>
      <c r="F55" s="13"/>
      <c r="G55" s="20"/>
      <c r="H55" s="27"/>
      <c r="I55" s="81"/>
    </row>
    <row r="56" spans="1:17" ht="7.5" customHeight="1" x14ac:dyDescent="0.2">
      <c r="A56" s="94"/>
      <c r="B56" s="36"/>
      <c r="C56" s="9"/>
      <c r="D56" s="17"/>
      <c r="E56" s="17"/>
      <c r="F56" s="9"/>
      <c r="G56" s="20"/>
      <c r="H56" s="27"/>
      <c r="I56" s="81"/>
    </row>
    <row r="57" spans="1:17" ht="17.25" customHeight="1" x14ac:dyDescent="0.2">
      <c r="A57" s="94"/>
      <c r="B57" s="36"/>
      <c r="C57" s="182"/>
      <c r="D57" s="147" t="s">
        <v>92</v>
      </c>
      <c r="E57" s="147" t="s">
        <v>93</v>
      </c>
      <c r="F57" s="147" t="s">
        <v>94</v>
      </c>
      <c r="G57" s="176"/>
      <c r="H57" s="27"/>
      <c r="I57" s="81"/>
    </row>
    <row r="58" spans="1:17" ht="28.5" customHeight="1" x14ac:dyDescent="0.2">
      <c r="A58" s="75"/>
      <c r="B58" s="29"/>
      <c r="C58" s="124" t="s">
        <v>100</v>
      </c>
      <c r="D58" s="180">
        <v>1</v>
      </c>
      <c r="E58" s="133">
        <v>0</v>
      </c>
      <c r="F58" s="133">
        <v>0</v>
      </c>
      <c r="G58" s="214" t="s">
        <v>131</v>
      </c>
      <c r="H58" s="27"/>
      <c r="I58" s="81"/>
    </row>
    <row r="59" spans="1:17" x14ac:dyDescent="0.2">
      <c r="A59" s="75"/>
      <c r="B59" s="26"/>
      <c r="C59" s="44" t="s">
        <v>34</v>
      </c>
      <c r="D59" s="127"/>
      <c r="E59" s="127"/>
      <c r="F59" s="127"/>
      <c r="G59" s="20"/>
      <c r="H59" s="27"/>
      <c r="I59" s="81"/>
    </row>
    <row r="60" spans="1:17" x14ac:dyDescent="0.2">
      <c r="A60" s="75"/>
      <c r="B60" s="26"/>
      <c r="C60" s="15" t="s">
        <v>104</v>
      </c>
      <c r="D60" s="51">
        <v>5</v>
      </c>
      <c r="E60" s="51">
        <v>5</v>
      </c>
      <c r="F60" s="51">
        <v>5</v>
      </c>
      <c r="G60" s="20"/>
      <c r="H60" s="27"/>
      <c r="I60" s="81"/>
    </row>
    <row r="61" spans="1:17" x14ac:dyDescent="0.2">
      <c r="A61" s="75"/>
      <c r="B61" s="26"/>
      <c r="C61" s="15" t="s">
        <v>105</v>
      </c>
      <c r="D61" s="51">
        <v>1</v>
      </c>
      <c r="E61" s="51">
        <v>1</v>
      </c>
      <c r="F61" s="51">
        <v>1</v>
      </c>
      <c r="G61" s="214" t="s">
        <v>70</v>
      </c>
      <c r="H61" s="27"/>
      <c r="I61" s="81"/>
    </row>
    <row r="62" spans="1:17" x14ac:dyDescent="0.2">
      <c r="A62" s="75"/>
      <c r="B62" s="26"/>
      <c r="C62" s="15" t="s">
        <v>106</v>
      </c>
      <c r="D62" s="51">
        <v>1</v>
      </c>
      <c r="E62" s="51">
        <v>1</v>
      </c>
      <c r="F62" s="51">
        <v>1</v>
      </c>
      <c r="G62" s="214" t="s">
        <v>72</v>
      </c>
      <c r="H62" s="27"/>
      <c r="I62" s="81"/>
    </row>
    <row r="63" spans="1:17" x14ac:dyDescent="0.2">
      <c r="A63" s="75"/>
      <c r="B63" s="26"/>
      <c r="C63" s="16" t="s">
        <v>107</v>
      </c>
      <c r="D63" s="52">
        <v>2</v>
      </c>
      <c r="E63" s="52">
        <v>2</v>
      </c>
      <c r="F63" s="52">
        <v>2</v>
      </c>
      <c r="G63" s="20"/>
      <c r="H63" s="27"/>
      <c r="I63" s="81"/>
    </row>
    <row r="64" spans="1:17" ht="17.25" customHeight="1" x14ac:dyDescent="0.2">
      <c r="A64" s="93"/>
      <c r="B64" s="35"/>
      <c r="C64" s="184" t="s">
        <v>103</v>
      </c>
      <c r="D64" s="185">
        <f>+IF(D52&gt;0,D55*temps_douche*D52,0)</f>
        <v>60</v>
      </c>
      <c r="E64" s="185">
        <f>+IF(E58&gt;0,D55*temps_douche*D52,0)</f>
        <v>0</v>
      </c>
      <c r="F64" s="185">
        <f>+IF(F58&gt;0,D55*temps_douche*D52,0)</f>
        <v>0</v>
      </c>
      <c r="G64" s="61"/>
      <c r="H64" s="27"/>
      <c r="I64" s="98"/>
    </row>
    <row r="65" spans="1:9" ht="12.75" x14ac:dyDescent="0.2">
      <c r="A65" s="75"/>
      <c r="B65" s="28"/>
      <c r="C65" s="184" t="s">
        <v>108</v>
      </c>
      <c r="D65" s="185">
        <f>+D61*D62*D63</f>
        <v>2</v>
      </c>
      <c r="E65" s="185">
        <f t="shared" ref="E65:F65" si="1">+E61*E62*E63</f>
        <v>2</v>
      </c>
      <c r="F65" s="185">
        <f t="shared" si="1"/>
        <v>2</v>
      </c>
      <c r="G65" s="20"/>
      <c r="H65" s="27"/>
      <c r="I65" s="81"/>
    </row>
    <row r="66" spans="1:9" ht="23.25" customHeight="1" x14ac:dyDescent="0.2">
      <c r="A66" s="75"/>
      <c r="B66" s="28"/>
      <c r="C66" s="188" t="s">
        <v>109</v>
      </c>
      <c r="D66" s="185">
        <f>+IF(D$30&gt;0,+D65*Y*60/temps_douche*D58,0)</f>
        <v>240</v>
      </c>
      <c r="E66" s="185">
        <f>+IF(E$30&gt;0,+E65*Y*60/temps_douche*E58,0)</f>
        <v>0</v>
      </c>
      <c r="F66" s="185">
        <f>+IF(F$30&gt;0,+F65*Y*60/temps_douche*F58,0)</f>
        <v>0</v>
      </c>
      <c r="G66" s="214" t="str">
        <f>+CONCATENATE("Débit sas = ","Volume d'1 compartiment * débit nominal de renouvellement d'air pendant ",temps_douche," ",E54)</f>
        <v>Débit sas = Volume d'1 compartiment * débit nominal de renouvellement d'air pendant 3 min</v>
      </c>
      <c r="H66" s="27"/>
      <c r="I66" s="81"/>
    </row>
    <row r="67" spans="1:9" ht="23.25" hidden="1" customHeight="1" x14ac:dyDescent="0.2">
      <c r="A67" s="75"/>
      <c r="B67" s="28"/>
      <c r="C67" s="60" t="s">
        <v>117</v>
      </c>
      <c r="D67" s="135">
        <f>+SUM(D66:F66)</f>
        <v>240</v>
      </c>
      <c r="E67" s="135"/>
      <c r="F67" s="135"/>
      <c r="G67" s="43"/>
      <c r="H67" s="27"/>
      <c r="I67" s="81"/>
    </row>
    <row r="68" spans="1:9" ht="22.5" customHeight="1" x14ac:dyDescent="0.2">
      <c r="A68" s="75"/>
      <c r="B68" s="28"/>
      <c r="C68" s="287" t="s">
        <v>29</v>
      </c>
      <c r="D68" s="288"/>
      <c r="E68" s="288"/>
      <c r="F68" s="288"/>
      <c r="G68" s="288"/>
      <c r="H68" s="27"/>
      <c r="I68" s="81"/>
    </row>
    <row r="69" spans="1:9" ht="6" customHeight="1" x14ac:dyDescent="0.2">
      <c r="A69" s="75"/>
      <c r="B69" s="30"/>
      <c r="C69" s="37"/>
      <c r="D69" s="38"/>
      <c r="E69" s="39"/>
      <c r="F69" s="39"/>
      <c r="G69" s="41"/>
      <c r="H69" s="33"/>
      <c r="I69" s="81"/>
    </row>
    <row r="70" spans="1:9" ht="8.25" customHeight="1" x14ac:dyDescent="0.2">
      <c r="A70" s="75"/>
      <c r="B70" s="76"/>
      <c r="C70" s="77"/>
      <c r="D70" s="78"/>
      <c r="E70" s="79"/>
      <c r="F70" s="79"/>
      <c r="G70" s="80"/>
      <c r="H70" s="80"/>
      <c r="I70" s="81"/>
    </row>
    <row r="71" spans="1:9" ht="20.25" customHeight="1" x14ac:dyDescent="0.2">
      <c r="A71" s="75"/>
      <c r="B71" s="23"/>
      <c r="C71" s="34" t="s">
        <v>37</v>
      </c>
      <c r="D71" s="24"/>
      <c r="E71" s="24"/>
      <c r="F71" s="24"/>
      <c r="G71" s="40"/>
      <c r="H71" s="25"/>
      <c r="I71" s="81"/>
    </row>
    <row r="72" spans="1:9" ht="12.75" customHeight="1" x14ac:dyDescent="0.2">
      <c r="A72" s="75"/>
      <c r="B72" s="35"/>
      <c r="C72" s="186"/>
      <c r="D72" s="20"/>
      <c r="E72" s="20"/>
      <c r="F72" s="176"/>
      <c r="G72" s="20"/>
      <c r="H72" s="27"/>
      <c r="I72" s="81"/>
    </row>
    <row r="73" spans="1:9" x14ac:dyDescent="0.2">
      <c r="A73" s="93"/>
      <c r="B73" s="29"/>
      <c r="C73" s="5" t="s">
        <v>111</v>
      </c>
      <c r="D73" s="4">
        <v>3</v>
      </c>
      <c r="E73" s="4" t="s">
        <v>3</v>
      </c>
      <c r="F73" s="73"/>
      <c r="G73" s="20"/>
      <c r="H73" s="27"/>
      <c r="I73" s="81"/>
    </row>
    <row r="74" spans="1:9" ht="5.25" customHeight="1" x14ac:dyDescent="0.2">
      <c r="A74" s="94"/>
      <c r="B74" s="36"/>
      <c r="C74" s="9"/>
      <c r="D74" s="9"/>
      <c r="E74" s="9"/>
      <c r="F74" s="9"/>
      <c r="G74" s="20"/>
      <c r="H74" s="27"/>
      <c r="I74" s="81"/>
    </row>
    <row r="75" spans="1:9" ht="20.25" customHeight="1" x14ac:dyDescent="0.2">
      <c r="A75" s="94"/>
      <c r="B75" s="36"/>
      <c r="C75" s="9"/>
      <c r="D75" s="147" t="s">
        <v>92</v>
      </c>
      <c r="E75" s="147" t="s">
        <v>93</v>
      </c>
      <c r="F75" s="147" t="s">
        <v>94</v>
      </c>
      <c r="G75" s="176"/>
      <c r="H75" s="27"/>
      <c r="I75" s="81"/>
    </row>
    <row r="76" spans="1:9" ht="12.75" customHeight="1" x14ac:dyDescent="0.2">
      <c r="A76" s="75"/>
      <c r="B76" s="29"/>
      <c r="C76" s="5" t="s">
        <v>110</v>
      </c>
      <c r="D76" s="180">
        <v>0</v>
      </c>
      <c r="E76" s="180">
        <v>1</v>
      </c>
      <c r="F76" s="180">
        <v>0</v>
      </c>
      <c r="G76" s="20"/>
      <c r="H76" s="27"/>
      <c r="I76" s="81"/>
    </row>
    <row r="77" spans="1:9" x14ac:dyDescent="0.2">
      <c r="A77" s="75"/>
      <c r="B77" s="26"/>
      <c r="C77" s="44" t="s">
        <v>13</v>
      </c>
      <c r="D77" s="127"/>
      <c r="E77" s="127"/>
      <c r="F77" s="127"/>
      <c r="G77" s="20"/>
      <c r="H77" s="27"/>
      <c r="I77" s="81"/>
    </row>
    <row r="78" spans="1:9" x14ac:dyDescent="0.2">
      <c r="A78" s="75"/>
      <c r="B78" s="26"/>
      <c r="C78" s="15" t="s">
        <v>104</v>
      </c>
      <c r="D78" s="51">
        <v>3</v>
      </c>
      <c r="E78" s="51">
        <v>3</v>
      </c>
      <c r="F78" s="51">
        <v>3</v>
      </c>
      <c r="G78" s="20"/>
      <c r="H78" s="27"/>
      <c r="I78" s="81"/>
    </row>
    <row r="79" spans="1:9" x14ac:dyDescent="0.2">
      <c r="A79" s="75"/>
      <c r="B79" s="26"/>
      <c r="C79" s="15" t="s">
        <v>105</v>
      </c>
      <c r="D79" s="51">
        <v>1</v>
      </c>
      <c r="E79" s="51">
        <v>1</v>
      </c>
      <c r="F79" s="51">
        <v>1</v>
      </c>
      <c r="G79" s="214" t="s">
        <v>70</v>
      </c>
      <c r="H79" s="27"/>
      <c r="I79" s="81"/>
    </row>
    <row r="80" spans="1:9" x14ac:dyDescent="0.2">
      <c r="A80" s="75"/>
      <c r="B80" s="26"/>
      <c r="C80" s="15" t="s">
        <v>106</v>
      </c>
      <c r="D80" s="51">
        <v>1</v>
      </c>
      <c r="E80" s="51">
        <v>1</v>
      </c>
      <c r="F80" s="51">
        <v>1</v>
      </c>
      <c r="G80" s="214" t="s">
        <v>71</v>
      </c>
      <c r="H80" s="27"/>
      <c r="I80" s="81"/>
    </row>
    <row r="81" spans="1:17" x14ac:dyDescent="0.2">
      <c r="A81" s="75"/>
      <c r="B81" s="26"/>
      <c r="C81" s="16" t="s">
        <v>107</v>
      </c>
      <c r="D81" s="52">
        <v>2</v>
      </c>
      <c r="E81" s="52">
        <v>2</v>
      </c>
      <c r="F81" s="52">
        <v>2</v>
      </c>
      <c r="G81" s="20"/>
      <c r="H81" s="27"/>
      <c r="I81" s="81"/>
    </row>
    <row r="82" spans="1:17" ht="12.75" x14ac:dyDescent="0.2">
      <c r="A82" s="75"/>
      <c r="B82" s="28"/>
      <c r="C82" s="184" t="s">
        <v>108</v>
      </c>
      <c r="D82" s="196">
        <f>+D81*D80*D79</f>
        <v>2</v>
      </c>
      <c r="E82" s="196">
        <f t="shared" ref="E82:F82" si="2">+E81*E80*E79</f>
        <v>2</v>
      </c>
      <c r="F82" s="196">
        <f t="shared" si="2"/>
        <v>2</v>
      </c>
      <c r="G82" s="20"/>
      <c r="H82" s="27"/>
      <c r="I82" s="81"/>
    </row>
    <row r="83" spans="1:17" ht="17.25" customHeight="1" x14ac:dyDescent="0.2">
      <c r="A83" s="75"/>
      <c r="B83" s="28"/>
      <c r="C83" s="188" t="s">
        <v>112</v>
      </c>
      <c r="D83" s="185">
        <f>+IF(D$30&gt;0,Vol_déchets*Y*60/temps_douche_déchets*D76,0)</f>
        <v>0</v>
      </c>
      <c r="E83" s="185">
        <f>+IF(E$30&gt;0,Vol_déchets*Y*60/temps_douche_déchets*E76,0)</f>
        <v>240</v>
      </c>
      <c r="F83" s="185">
        <f>+IF(F$30&gt;0,Vol_déchets*Y*60/temps_douche_déchets*F76,0)</f>
        <v>0</v>
      </c>
      <c r="G83" s="214" t="str">
        <f>+CONCATENATE("Débit sas = ","Volume d'1 compartiment * débit nominal de renouvellement d'air pendant ",temps_douche," ",E73)</f>
        <v>Débit sas = Volume d'1 compartiment * débit nominal de renouvellement d'air pendant 3 min</v>
      </c>
      <c r="H83" s="27"/>
      <c r="I83" s="81"/>
    </row>
    <row r="84" spans="1:17" ht="23.25" hidden="1" customHeight="1" x14ac:dyDescent="0.2">
      <c r="A84" s="75"/>
      <c r="B84" s="28"/>
      <c r="C84" s="60" t="s">
        <v>116</v>
      </c>
      <c r="D84" s="135">
        <f>+SUM(D83:F83)</f>
        <v>240</v>
      </c>
      <c r="E84" s="135"/>
      <c r="F84" s="135"/>
      <c r="G84" s="43"/>
      <c r="H84" s="27"/>
      <c r="I84" s="81"/>
    </row>
    <row r="85" spans="1:17" ht="24" customHeight="1" x14ac:dyDescent="0.2">
      <c r="A85" s="75"/>
      <c r="B85" s="28"/>
      <c r="C85" s="287" t="s">
        <v>28</v>
      </c>
      <c r="D85" s="288"/>
      <c r="E85" s="288"/>
      <c r="F85" s="288"/>
      <c r="G85" s="288"/>
      <c r="H85" s="27"/>
      <c r="I85" s="81"/>
    </row>
    <row r="86" spans="1:17" ht="3.75" customHeight="1" x14ac:dyDescent="0.2">
      <c r="A86" s="75"/>
      <c r="B86" s="30"/>
      <c r="C86" s="37"/>
      <c r="D86" s="38"/>
      <c r="E86" s="39"/>
      <c r="F86" s="39"/>
      <c r="G86" s="41"/>
      <c r="H86" s="33"/>
      <c r="I86" s="81"/>
      <c r="O86" s="47"/>
      <c r="P86" s="47"/>
      <c r="Q86" s="47"/>
    </row>
    <row r="87" spans="1:17" s="47" customFormat="1" ht="9" customHeight="1" x14ac:dyDescent="0.2">
      <c r="A87" s="75"/>
      <c r="B87" s="76"/>
      <c r="C87" s="77"/>
      <c r="D87" s="78"/>
      <c r="E87" s="79"/>
      <c r="F87" s="79"/>
      <c r="G87" s="80"/>
      <c r="H87" s="80"/>
      <c r="I87" s="81"/>
      <c r="O87" s="2"/>
      <c r="P87" s="2"/>
      <c r="Q87" s="2"/>
    </row>
    <row r="88" spans="1:17" ht="17.25" customHeight="1" x14ac:dyDescent="0.2">
      <c r="A88" s="75"/>
      <c r="B88" s="23"/>
      <c r="C88" s="292" t="s">
        <v>64</v>
      </c>
      <c r="D88" s="293"/>
      <c r="E88" s="293"/>
      <c r="F88" s="293"/>
      <c r="G88" s="293"/>
      <c r="H88" s="25"/>
      <c r="I88" s="81"/>
    </row>
    <row r="89" spans="1:17" ht="9" customHeight="1" x14ac:dyDescent="0.2">
      <c r="A89" s="75"/>
      <c r="B89" s="28"/>
      <c r="C89" s="8"/>
      <c r="D89" s="18"/>
      <c r="E89" s="64"/>
      <c r="F89" s="175"/>
      <c r="G89" s="20"/>
      <c r="H89" s="27"/>
      <c r="I89" s="81"/>
    </row>
    <row r="90" spans="1:17" ht="15.75" customHeight="1" x14ac:dyDescent="0.2">
      <c r="A90" s="75"/>
      <c r="B90" s="28"/>
      <c r="C90" s="8"/>
      <c r="D90" s="183" t="s">
        <v>92</v>
      </c>
      <c r="E90" s="183" t="s">
        <v>93</v>
      </c>
      <c r="F90" s="183" t="s">
        <v>94</v>
      </c>
      <c r="G90" s="176"/>
      <c r="H90" s="27"/>
      <c r="I90" s="81"/>
    </row>
    <row r="91" spans="1:17" ht="14.25" customHeight="1" x14ac:dyDescent="0.2">
      <c r="A91" s="93"/>
      <c r="B91" s="35"/>
      <c r="C91" s="188" t="s">
        <v>126</v>
      </c>
      <c r="D91" s="185">
        <f>+(D30*Y)-(Ds+Dsd)</f>
        <v>1260</v>
      </c>
      <c r="E91" s="185">
        <f>+(E30*Y)-(E66+E83)</f>
        <v>1260</v>
      </c>
      <c r="F91" s="185">
        <f>+(F30*Y)-(F66+F83)</f>
        <v>0</v>
      </c>
      <c r="G91" s="214" t="s">
        <v>63</v>
      </c>
      <c r="H91" s="27"/>
      <c r="I91" s="81"/>
    </row>
    <row r="92" spans="1:17" ht="6" customHeight="1" x14ac:dyDescent="0.2">
      <c r="A92" s="75"/>
      <c r="B92" s="30"/>
      <c r="C92" s="37"/>
      <c r="D92" s="38"/>
      <c r="E92" s="39"/>
      <c r="F92" s="39"/>
      <c r="G92" s="41"/>
      <c r="H92" s="33"/>
      <c r="I92" s="81"/>
    </row>
    <row r="93" spans="1:17" ht="8.25" customHeight="1" x14ac:dyDescent="0.2">
      <c r="A93" s="75"/>
      <c r="B93" s="76"/>
      <c r="C93" s="76"/>
      <c r="D93" s="76"/>
      <c r="E93" s="101"/>
      <c r="F93" s="101"/>
      <c r="G93" s="80"/>
      <c r="H93" s="80"/>
      <c r="I93" s="81"/>
    </row>
    <row r="94" spans="1:17" ht="16.5" customHeight="1" x14ac:dyDescent="0.2">
      <c r="A94" s="75"/>
      <c r="B94" s="23"/>
      <c r="C94" s="292" t="s">
        <v>65</v>
      </c>
      <c r="D94" s="293"/>
      <c r="E94" s="293"/>
      <c r="F94" s="293"/>
      <c r="G94" s="293"/>
      <c r="H94" s="25"/>
      <c r="I94" s="81"/>
    </row>
    <row r="95" spans="1:17" ht="9" customHeight="1" x14ac:dyDescent="0.2">
      <c r="A95" s="75"/>
      <c r="B95" s="28"/>
      <c r="C95" s="20"/>
      <c r="D95" s="20"/>
      <c r="E95" s="20"/>
      <c r="F95" s="176"/>
      <c r="G95" s="20"/>
      <c r="H95" s="27"/>
      <c r="I95" s="81"/>
    </row>
    <row r="96" spans="1:17" ht="26.25" customHeight="1" x14ac:dyDescent="0.2">
      <c r="A96" s="93"/>
      <c r="B96" s="29"/>
      <c r="C96" s="45" t="s">
        <v>15</v>
      </c>
      <c r="D96" s="59">
        <v>2</v>
      </c>
      <c r="E96" s="12" t="s">
        <v>9</v>
      </c>
      <c r="F96" s="343" t="s">
        <v>132</v>
      </c>
      <c r="G96" s="344"/>
      <c r="H96" s="27"/>
      <c r="I96" s="81"/>
    </row>
    <row r="97" spans="1:9" ht="16.5" customHeight="1" x14ac:dyDescent="0.2">
      <c r="A97" s="93"/>
      <c r="B97" s="29"/>
      <c r="C97" s="10" t="s">
        <v>57</v>
      </c>
      <c r="D97" s="140">
        <v>0.30499999999999999</v>
      </c>
      <c r="E97" s="4" t="s">
        <v>1</v>
      </c>
      <c r="F97" s="364" t="str">
        <f>++IF(D96=1,CONCATENATE("Surface filtre rectangulaire ou carré : ",+ROUND(+D97*D98,4)," m²"),+CONCATENATE("Surface filtre cylindrique : ",ROUND(D97*D97*PI()/4,3)," m²"))</f>
        <v>Surface filtre cylindrique : 0,073 m²</v>
      </c>
      <c r="G97" s="344"/>
      <c r="H97" s="27"/>
      <c r="I97" s="81"/>
    </row>
    <row r="98" spans="1:9" ht="18" customHeight="1" x14ac:dyDescent="0.2">
      <c r="A98" s="93"/>
      <c r="B98" s="29"/>
      <c r="C98" s="10" t="s">
        <v>58</v>
      </c>
      <c r="D98" s="140"/>
      <c r="E98" s="4" t="s">
        <v>1</v>
      </c>
      <c r="F98" s="73"/>
      <c r="G98" s="61"/>
      <c r="H98" s="27"/>
      <c r="I98" s="81"/>
    </row>
    <row r="99" spans="1:9" ht="6.75" customHeight="1" x14ac:dyDescent="0.2">
      <c r="A99" s="75"/>
      <c r="B99" s="28"/>
      <c r="C99" s="22"/>
      <c r="D99" s="22"/>
      <c r="E99" s="22"/>
      <c r="F99" s="176"/>
      <c r="G99" s="20"/>
      <c r="H99" s="27"/>
      <c r="I99" s="81"/>
    </row>
    <row r="100" spans="1:9" ht="31.5" customHeight="1" x14ac:dyDescent="0.2">
      <c r="A100" s="93"/>
      <c r="B100" s="29"/>
      <c r="C100" s="128" t="s">
        <v>78</v>
      </c>
      <c r="D100" s="50">
        <v>3</v>
      </c>
      <c r="E100" s="343" t="s">
        <v>133</v>
      </c>
      <c r="F100" s="344"/>
      <c r="G100" s="344"/>
      <c r="H100" s="27"/>
      <c r="I100" s="81"/>
    </row>
    <row r="101" spans="1:9" ht="5.25" customHeight="1" x14ac:dyDescent="0.2">
      <c r="A101" s="75"/>
      <c r="B101" s="28"/>
      <c r="C101" s="20"/>
      <c r="D101" s="20"/>
      <c r="E101" s="20"/>
      <c r="F101" s="176"/>
      <c r="G101" s="20"/>
      <c r="H101" s="27"/>
      <c r="I101" s="81"/>
    </row>
    <row r="102" spans="1:9" ht="12.75" customHeight="1" x14ac:dyDescent="0.2">
      <c r="A102" s="75"/>
      <c r="B102" s="28"/>
      <c r="C102" s="156" t="s">
        <v>141</v>
      </c>
      <c r="D102" s="158">
        <v>3.33</v>
      </c>
      <c r="E102" s="157" t="s">
        <v>47</v>
      </c>
      <c r="F102" s="365" t="str">
        <f>+IF(D96=2,+IF(K&gt;0,+CONCATENATE("Vitesse estimée pour un tube à ",+ROUND(+SQRT(2*D47/1.2/K),2)," m/s"),""),"indiquer vitesse relevée")</f>
        <v>Vitesse estimée pour un tube à 3,33 m/s</v>
      </c>
      <c r="G102" s="344"/>
      <c r="H102" s="27"/>
      <c r="I102" s="81"/>
    </row>
    <row r="103" spans="1:9" ht="6.75" customHeight="1" x14ac:dyDescent="0.2">
      <c r="A103" s="75"/>
      <c r="B103" s="28"/>
      <c r="C103" s="130"/>
      <c r="D103" s="131"/>
      <c r="E103" s="73"/>
      <c r="F103" s="73"/>
      <c r="G103" s="43"/>
      <c r="H103" s="27"/>
      <c r="I103" s="81"/>
    </row>
    <row r="104" spans="1:9" ht="18" customHeight="1" x14ac:dyDescent="0.2">
      <c r="A104" s="75"/>
      <c r="B104" s="28"/>
      <c r="C104" s="60" t="s">
        <v>124</v>
      </c>
      <c r="D104" s="135">
        <f>+IF(D96=1,(D97*D98)*Va*3600*K,+IF(D96=2,(PI()*D97*D97/4)*Va*3600,""))</f>
        <v>875.86322983077093</v>
      </c>
      <c r="E104" s="144" t="s">
        <v>52</v>
      </c>
      <c r="F104" s="357" t="s">
        <v>134</v>
      </c>
      <c r="G104" s="344"/>
      <c r="H104" s="27"/>
      <c r="I104" s="81"/>
    </row>
    <row r="105" spans="1:9" ht="18" customHeight="1" x14ac:dyDescent="0.2">
      <c r="A105" s="75"/>
      <c r="B105" s="28"/>
      <c r="C105" s="60" t="s">
        <v>123</v>
      </c>
      <c r="D105" s="197">
        <f>+ROUNDUP(Danf/25,0)*25</f>
        <v>900</v>
      </c>
      <c r="E105" s="144" t="s">
        <v>52</v>
      </c>
      <c r="F105" s="144"/>
      <c r="G105" s="198"/>
      <c r="H105" s="27"/>
      <c r="I105" s="81"/>
    </row>
    <row r="106" spans="1:9" ht="6.75" customHeight="1" x14ac:dyDescent="0.2">
      <c r="A106" s="75"/>
      <c r="B106" s="30"/>
      <c r="C106" s="38"/>
      <c r="D106" s="38"/>
      <c r="E106" s="39"/>
      <c r="F106" s="39"/>
      <c r="G106" s="41"/>
      <c r="H106" s="33"/>
      <c r="I106" s="81"/>
    </row>
    <row r="107" spans="1:9" x14ac:dyDescent="0.2">
      <c r="A107" s="82"/>
      <c r="B107" s="83"/>
      <c r="C107" s="84"/>
      <c r="D107" s="85"/>
      <c r="E107" s="86"/>
      <c r="F107" s="86"/>
      <c r="G107" s="87"/>
      <c r="H107" s="87"/>
      <c r="I107" s="88"/>
    </row>
    <row r="108" spans="1:9" ht="9" customHeight="1" x14ac:dyDescent="0.2">
      <c r="A108" s="89"/>
      <c r="B108" s="90"/>
      <c r="C108" s="90"/>
      <c r="D108" s="90"/>
      <c r="E108" s="90"/>
      <c r="F108" s="90"/>
      <c r="G108" s="90"/>
      <c r="H108" s="90"/>
      <c r="I108" s="91"/>
    </row>
    <row r="109" spans="1:9" ht="15" customHeight="1" x14ac:dyDescent="0.2">
      <c r="A109" s="75"/>
      <c r="B109" s="23"/>
      <c r="C109" s="292" t="s">
        <v>66</v>
      </c>
      <c r="D109" s="293"/>
      <c r="E109" s="293"/>
      <c r="F109" s="293"/>
      <c r="G109" s="293"/>
      <c r="H109" s="25"/>
      <c r="I109" s="81"/>
    </row>
    <row r="110" spans="1:9" ht="6" customHeight="1" x14ac:dyDescent="0.2">
      <c r="A110" s="75"/>
      <c r="B110" s="28"/>
      <c r="C110" s="20"/>
      <c r="D110" s="20"/>
      <c r="E110" s="20"/>
      <c r="F110" s="176"/>
      <c r="G110" s="20"/>
      <c r="H110" s="27"/>
      <c r="I110" s="81"/>
    </row>
    <row r="111" spans="1:9" ht="18.75" customHeight="1" x14ac:dyDescent="0.2">
      <c r="A111" s="75"/>
      <c r="B111" s="28"/>
      <c r="C111" s="176"/>
      <c r="D111" s="183" t="s">
        <v>92</v>
      </c>
      <c r="E111" s="183" t="s">
        <v>93</v>
      </c>
      <c r="F111" s="183" t="s">
        <v>94</v>
      </c>
      <c r="G111" s="176"/>
      <c r="H111" s="27"/>
      <c r="I111" s="81"/>
    </row>
    <row r="112" spans="1:9" ht="16.5" customHeight="1" x14ac:dyDescent="0.2">
      <c r="A112" s="93"/>
      <c r="B112" s="35"/>
      <c r="C112" s="184" t="s">
        <v>113</v>
      </c>
      <c r="D112" s="191">
        <f>+IF(Danfarrond&gt;0,+IF(Dz&lt;0.01,0,Dz/Danfarrond),0)</f>
        <v>1.4</v>
      </c>
      <c r="E112" s="191">
        <f>+IF(Danfarrond&gt;0,+IF(Dzone2&lt;0.01,0,Dzone2/Danfarrond),0)</f>
        <v>1.4</v>
      </c>
      <c r="F112" s="191">
        <f>+IF(Danfarrond&gt;0,+IF(Dzone3&lt;0.01,0,Dzone3/Danfarrond),0)</f>
        <v>0</v>
      </c>
      <c r="G112" s="214" t="s">
        <v>14</v>
      </c>
      <c r="H112" s="27"/>
      <c r="I112" s="81"/>
    </row>
    <row r="113" spans="1:9" ht="45" customHeight="1" x14ac:dyDescent="0.2">
      <c r="A113" s="93"/>
      <c r="B113" s="35"/>
      <c r="C113" s="187" t="s">
        <v>114</v>
      </c>
      <c r="D113" s="185">
        <f>+IF(D104&gt;0,ROUNDUP(D112,0),0)</f>
        <v>2</v>
      </c>
      <c r="E113" s="185">
        <f>+IF(D104&gt;0,ROUNDUP(E112,0),0)</f>
        <v>2</v>
      </c>
      <c r="F113" s="185">
        <f>+IF(D104&gt;0,ROUNDUP(F112,0),0)</f>
        <v>0</v>
      </c>
      <c r="G113" s="136"/>
      <c r="H113" s="27"/>
      <c r="I113" s="81"/>
    </row>
    <row r="114" spans="1:9" ht="18" customHeight="1" x14ac:dyDescent="0.2">
      <c r="A114" s="93"/>
      <c r="B114" s="35"/>
      <c r="C114" s="188" t="s">
        <v>125</v>
      </c>
      <c r="D114" s="185">
        <f>+IF(D104&gt;0,Danfarrond*D113,0)</f>
        <v>1800</v>
      </c>
      <c r="E114" s="185">
        <f>+IF(D104&gt;0,Danfarrond*E113,0)</f>
        <v>1800</v>
      </c>
      <c r="F114" s="185">
        <f>+IF(D104&gt;0,Danfarrond*F113,0)</f>
        <v>0</v>
      </c>
      <c r="G114" s="214" t="s">
        <v>67</v>
      </c>
      <c r="H114" s="27"/>
      <c r="I114" s="81"/>
    </row>
    <row r="115" spans="1:9" ht="25.5" customHeight="1" x14ac:dyDescent="0.2">
      <c r="A115" s="93"/>
      <c r="B115" s="35"/>
      <c r="C115" s="188" t="s">
        <v>119</v>
      </c>
      <c r="D115" s="194">
        <f>+ROUND(DEc+E114+F114,0)</f>
        <v>3600</v>
      </c>
      <c r="E115" s="192" t="s">
        <v>52</v>
      </c>
      <c r="F115" s="13"/>
      <c r="G115" s="43"/>
      <c r="H115" s="27"/>
      <c r="I115" s="81"/>
    </row>
    <row r="116" spans="1:9" ht="27" customHeight="1" x14ac:dyDescent="0.2">
      <c r="A116" s="93"/>
      <c r="B116" s="35"/>
      <c r="C116" s="366" t="str">
        <f>+IF(Dz&lt;0,"Dz est inférieur à 0. Vérifier s'il est nécessaire d'ajouter des entrées d'air de compensation, les débits d'air apportés par les sas de décontamination peuvent être suffisants pour renouveller le volume unitaire",+IF(Danfarrond&gt;0,"","Vérifier pourquoi l'entreprise n'a pas prévu d'entrée d'air de compensation, danfarrond = 0"))</f>
        <v/>
      </c>
      <c r="D116" s="367"/>
      <c r="E116" s="367"/>
      <c r="F116" s="367"/>
      <c r="G116" s="367"/>
      <c r="H116" s="27"/>
      <c r="I116" s="81"/>
    </row>
    <row r="117" spans="1:9" ht="4.5" customHeight="1" x14ac:dyDescent="0.2">
      <c r="A117" s="75"/>
      <c r="B117" s="30"/>
      <c r="C117" s="37"/>
      <c r="D117" s="38"/>
      <c r="E117" s="39"/>
      <c r="F117" s="39"/>
      <c r="G117" s="41"/>
      <c r="H117" s="33"/>
      <c r="I117" s="81"/>
    </row>
    <row r="118" spans="1:9" ht="6" customHeight="1" x14ac:dyDescent="0.2">
      <c r="A118" s="75"/>
      <c r="B118" s="76"/>
      <c r="C118" s="77"/>
      <c r="D118" s="78"/>
      <c r="E118" s="79"/>
      <c r="F118" s="79"/>
      <c r="G118" s="80"/>
      <c r="H118" s="80"/>
      <c r="I118" s="81"/>
    </row>
    <row r="119" spans="1:9" ht="6" customHeight="1" x14ac:dyDescent="0.2">
      <c r="A119" s="75"/>
      <c r="B119" s="76"/>
      <c r="C119" s="76"/>
      <c r="D119" s="76"/>
      <c r="E119" s="76"/>
      <c r="F119" s="76"/>
      <c r="G119" s="76"/>
      <c r="H119" s="76"/>
      <c r="I119" s="81"/>
    </row>
    <row r="120" spans="1:9" ht="19.5" customHeight="1" x14ac:dyDescent="0.2">
      <c r="A120" s="75"/>
      <c r="B120" s="23"/>
      <c r="C120" s="292" t="s">
        <v>59</v>
      </c>
      <c r="D120" s="293"/>
      <c r="E120" s="293"/>
      <c r="F120" s="293"/>
      <c r="G120" s="293"/>
      <c r="H120" s="25"/>
      <c r="I120" s="81"/>
    </row>
    <row r="121" spans="1:9" ht="13.5" customHeight="1" x14ac:dyDescent="0.2">
      <c r="A121" s="75"/>
      <c r="B121" s="28"/>
      <c r="C121" s="20"/>
      <c r="D121" s="20"/>
      <c r="E121" s="20"/>
      <c r="F121" s="176"/>
      <c r="G121" s="20"/>
      <c r="H121" s="27"/>
      <c r="I121" s="81"/>
    </row>
    <row r="122" spans="1:9" ht="13.5" customHeight="1" x14ac:dyDescent="0.2">
      <c r="A122" s="75"/>
      <c r="B122" s="28"/>
      <c r="C122" s="177"/>
      <c r="D122" s="147" t="s">
        <v>92</v>
      </c>
      <c r="E122" s="147" t="s">
        <v>93</v>
      </c>
      <c r="F122" s="147" t="s">
        <v>94</v>
      </c>
      <c r="G122" s="177"/>
      <c r="H122" s="27"/>
      <c r="I122" s="81"/>
    </row>
    <row r="123" spans="1:9" ht="25.5" customHeight="1" x14ac:dyDescent="0.2">
      <c r="A123" s="93"/>
      <c r="B123" s="35"/>
      <c r="C123" s="6" t="s">
        <v>115</v>
      </c>
      <c r="D123" s="180">
        <v>0</v>
      </c>
      <c r="E123" s="180">
        <v>0</v>
      </c>
      <c r="F123" s="180">
        <v>0</v>
      </c>
      <c r="G123" s="214" t="s">
        <v>135</v>
      </c>
      <c r="H123" s="27"/>
      <c r="I123" s="81"/>
    </row>
    <row r="124" spans="1:9" ht="18.75" customHeight="1" x14ac:dyDescent="0.2">
      <c r="A124" s="93"/>
      <c r="B124" s="35"/>
      <c r="C124" s="188" t="s">
        <v>120</v>
      </c>
      <c r="D124" s="185">
        <f>+IF(D$30&gt;0,+D123*Danfarrond,0)</f>
        <v>0</v>
      </c>
      <c r="E124" s="185">
        <f>+IF(E$30&gt;0,+E123*Danfarrond,0)</f>
        <v>0</v>
      </c>
      <c r="F124" s="185">
        <f>+IF(F$30&gt;0,+F123*Danfarrond,0)</f>
        <v>0</v>
      </c>
      <c r="G124" s="214" t="s">
        <v>68</v>
      </c>
      <c r="H124" s="27"/>
      <c r="I124" s="81"/>
    </row>
    <row r="125" spans="1:9" ht="18.75" customHeight="1" x14ac:dyDescent="0.2">
      <c r="A125" s="93"/>
      <c r="B125" s="35"/>
      <c r="C125" s="188" t="s">
        <v>118</v>
      </c>
      <c r="D125" s="194">
        <f>+ROUND(D124+E124+F124,0)</f>
        <v>0</v>
      </c>
      <c r="E125" s="192" t="s">
        <v>52</v>
      </c>
      <c r="F125" s="144"/>
      <c r="G125" s="43"/>
      <c r="H125" s="27"/>
      <c r="I125" s="81"/>
    </row>
    <row r="126" spans="1:9" ht="7.5" customHeight="1" x14ac:dyDescent="0.2">
      <c r="A126" s="75"/>
      <c r="B126" s="30"/>
      <c r="C126" s="37"/>
      <c r="D126" s="38"/>
      <c r="E126" s="39"/>
      <c r="F126" s="39"/>
      <c r="G126" s="41"/>
      <c r="H126" s="33"/>
      <c r="I126" s="81"/>
    </row>
    <row r="127" spans="1:9" ht="7.5" customHeight="1" x14ac:dyDescent="0.2">
      <c r="A127" s="75"/>
      <c r="B127" s="76"/>
      <c r="C127" s="76"/>
      <c r="D127" s="76"/>
      <c r="E127" s="76"/>
      <c r="F127" s="76"/>
      <c r="G127" s="76"/>
      <c r="H127" s="76"/>
      <c r="I127" s="81"/>
    </row>
    <row r="128" spans="1:9" ht="24" customHeight="1" x14ac:dyDescent="0.2">
      <c r="A128" s="75"/>
      <c r="B128" s="23"/>
      <c r="C128" s="292" t="s">
        <v>60</v>
      </c>
      <c r="D128" s="293"/>
      <c r="E128" s="293"/>
      <c r="F128" s="293"/>
      <c r="G128" s="293"/>
      <c r="H128" s="25"/>
      <c r="I128" s="81"/>
    </row>
    <row r="129" spans="1:9" ht="5.25" customHeight="1" x14ac:dyDescent="0.2">
      <c r="A129" s="75"/>
      <c r="B129" s="28"/>
      <c r="C129" s="20"/>
      <c r="D129" s="20"/>
      <c r="E129" s="20"/>
      <c r="F129" s="176"/>
      <c r="G129" s="20"/>
      <c r="H129" s="27"/>
      <c r="I129" s="81"/>
    </row>
    <row r="130" spans="1:9" ht="46.5" customHeight="1" x14ac:dyDescent="0.2">
      <c r="A130" s="93"/>
      <c r="B130" s="35"/>
      <c r="C130" s="60" t="s">
        <v>11</v>
      </c>
      <c r="D130" s="197">
        <f>+Dectotal+Dstotal+DsDtotal+Dea</f>
        <v>4080</v>
      </c>
      <c r="E130" s="144" t="s">
        <v>52</v>
      </c>
      <c r="F130" s="357" t="s">
        <v>136</v>
      </c>
      <c r="G130" s="344"/>
      <c r="H130" s="27"/>
      <c r="I130" s="81"/>
    </row>
    <row r="131" spans="1:9" ht="14.25" customHeight="1" x14ac:dyDescent="0.2">
      <c r="A131" s="75"/>
      <c r="B131" s="30"/>
      <c r="C131" s="37"/>
      <c r="D131" s="38"/>
      <c r="E131" s="39"/>
      <c r="F131" s="39"/>
      <c r="G131" s="41"/>
      <c r="H131" s="33"/>
      <c r="I131" s="81"/>
    </row>
    <row r="132" spans="1:9" ht="6.75" customHeight="1" x14ac:dyDescent="0.2">
      <c r="A132" s="75"/>
      <c r="B132" s="69"/>
      <c r="C132" s="69"/>
      <c r="D132" s="69"/>
      <c r="E132" s="69"/>
      <c r="F132" s="69"/>
      <c r="G132" s="69"/>
      <c r="H132" s="69"/>
      <c r="I132" s="81"/>
    </row>
    <row r="133" spans="1:9" ht="39" customHeight="1" x14ac:dyDescent="0.2">
      <c r="A133" s="75"/>
      <c r="B133" s="23"/>
      <c r="C133" s="292" t="s">
        <v>69</v>
      </c>
      <c r="D133" s="293"/>
      <c r="E133" s="293"/>
      <c r="F133" s="293" t="b">
        <v>1</v>
      </c>
      <c r="G133" s="293"/>
      <c r="H133" s="25"/>
      <c r="I133" s="81"/>
    </row>
    <row r="134" spans="1:9" ht="15.75" customHeight="1" x14ac:dyDescent="0.2">
      <c r="A134" s="75"/>
      <c r="B134" s="28"/>
      <c r="C134" s="248" t="s">
        <v>145</v>
      </c>
      <c r="D134" s="249"/>
      <c r="E134" s="249"/>
      <c r="F134" s="224" t="b">
        <v>0</v>
      </c>
      <c r="G134" s="223" t="b">
        <f>+IF(F134=TRUE,FALSE,TRUE)</f>
        <v>1</v>
      </c>
      <c r="H134" s="27"/>
      <c r="I134" s="81"/>
    </row>
    <row r="135" spans="1:9" ht="15.75" customHeight="1" x14ac:dyDescent="0.2">
      <c r="A135" s="75"/>
      <c r="B135" s="28"/>
      <c r="C135" s="248" t="s">
        <v>146</v>
      </c>
      <c r="D135" s="249"/>
      <c r="E135" s="249"/>
      <c r="F135" s="224" t="b">
        <v>0</v>
      </c>
      <c r="G135" s="223" t="b">
        <f>+IF(F135=TRUE,FALSE,TRUE)</f>
        <v>1</v>
      </c>
      <c r="H135" s="27"/>
      <c r="I135" s="81"/>
    </row>
    <row r="136" spans="1:9" ht="15.75" customHeight="1" x14ac:dyDescent="0.2">
      <c r="A136" s="75"/>
      <c r="B136" s="28"/>
      <c r="C136" s="248" t="s">
        <v>147</v>
      </c>
      <c r="D136" s="249"/>
      <c r="E136" s="249"/>
      <c r="F136" s="224" t="b">
        <v>0</v>
      </c>
      <c r="G136" s="223" t="b">
        <f>+IF(F136=TRUE,FALSE,TRUE)</f>
        <v>1</v>
      </c>
      <c r="H136" s="27"/>
      <c r="I136" s="81"/>
    </row>
    <row r="137" spans="1:9" ht="18.75" customHeight="1" x14ac:dyDescent="0.2">
      <c r="A137" s="75"/>
      <c r="B137" s="28"/>
      <c r="C137" s="368" t="str">
        <f>+IF(OR(AND(F134=TRUE,F135=FALSE,F136=TRUE),AND(F134=FALSE,F135=TRUE)),"Type III",+IF(OR(AND(F134=TRUE,F135=FALSE,F136=FALSE),AND(F134=FALSE,F135=FALSE,F136=TRUE)),"Type II",+IF(AND(F134=TRUE,F135=TRUE),"Type IV","Type I")))</f>
        <v>Type I</v>
      </c>
      <c r="D137" s="369"/>
      <c r="E137" s="370"/>
      <c r="F137" s="223"/>
      <c r="G137" s="223"/>
      <c r="H137" s="27"/>
      <c r="I137" s="81"/>
    </row>
    <row r="138" spans="1:9" ht="30" customHeight="1" x14ac:dyDescent="0.2">
      <c r="A138" s="75"/>
      <c r="B138" s="28"/>
      <c r="C138" s="294" t="s">
        <v>39</v>
      </c>
      <c r="D138" s="295"/>
      <c r="E138" s="295"/>
      <c r="F138" s="295"/>
      <c r="G138" s="295"/>
      <c r="H138" s="27"/>
      <c r="I138" s="81"/>
    </row>
    <row r="139" spans="1:9" ht="82.5" customHeight="1" x14ac:dyDescent="0.2">
      <c r="A139" s="75"/>
      <c r="B139" s="28"/>
      <c r="C139" s="6" t="s">
        <v>25</v>
      </c>
      <c r="D139" s="62">
        <v>0.6</v>
      </c>
      <c r="E139" s="4" t="s">
        <v>24</v>
      </c>
      <c r="F139" s="73"/>
      <c r="G139" s="74"/>
      <c r="H139" s="27"/>
      <c r="I139" s="81"/>
    </row>
    <row r="140" spans="1:9" ht="63" customHeight="1" x14ac:dyDescent="0.2">
      <c r="A140" s="75"/>
      <c r="B140" s="28"/>
      <c r="C140" s="9" t="s">
        <v>40</v>
      </c>
      <c r="D140" s="18">
        <f>+IF(TF&gt;0,TF*V,0)</f>
        <v>300</v>
      </c>
      <c r="E140" s="13" t="s">
        <v>12</v>
      </c>
      <c r="F140" s="13"/>
      <c r="G140" s="43"/>
      <c r="H140" s="27"/>
      <c r="I140" s="81"/>
    </row>
    <row r="141" spans="1:9" ht="41.25" customHeight="1" x14ac:dyDescent="0.2">
      <c r="A141" s="75"/>
      <c r="B141" s="30"/>
      <c r="C141" s="37"/>
      <c r="D141" s="38"/>
      <c r="E141" s="39"/>
      <c r="F141" s="39"/>
      <c r="G141" s="41"/>
      <c r="H141" s="33"/>
      <c r="I141" s="81"/>
    </row>
    <row r="142" spans="1:9" ht="5.25" customHeight="1" x14ac:dyDescent="0.2">
      <c r="A142" s="75"/>
      <c r="B142" s="76"/>
      <c r="C142" s="77"/>
      <c r="D142" s="78"/>
      <c r="E142" s="79"/>
      <c r="F142" s="79"/>
      <c r="G142" s="80"/>
      <c r="H142" s="80"/>
      <c r="I142" s="81"/>
    </row>
    <row r="143" spans="1:9" ht="6" customHeight="1" x14ac:dyDescent="0.2">
      <c r="A143" s="75"/>
      <c r="B143" s="76"/>
      <c r="C143" s="76"/>
      <c r="D143" s="76"/>
      <c r="E143" s="76"/>
      <c r="F143" s="76"/>
      <c r="G143" s="76"/>
      <c r="H143" s="76"/>
      <c r="I143" s="81"/>
    </row>
    <row r="144" spans="1:9" ht="21" customHeight="1" x14ac:dyDescent="0.2">
      <c r="A144" s="75"/>
      <c r="B144" s="23"/>
      <c r="C144" s="292" t="s">
        <v>61</v>
      </c>
      <c r="D144" s="293"/>
      <c r="E144" s="293"/>
      <c r="F144" s="293"/>
      <c r="G144" s="293"/>
      <c r="H144" s="25"/>
      <c r="I144" s="81"/>
    </row>
    <row r="145" spans="1:17" ht="8.25" customHeight="1" x14ac:dyDescent="0.2">
      <c r="A145" s="75"/>
      <c r="B145" s="28"/>
      <c r="C145" s="20"/>
      <c r="D145" s="20"/>
      <c r="E145" s="20"/>
      <c r="F145" s="176"/>
      <c r="G145" s="20"/>
      <c r="H145" s="27"/>
      <c r="I145" s="81"/>
    </row>
    <row r="146" spans="1:17" ht="61.5" customHeight="1" x14ac:dyDescent="0.2">
      <c r="A146" s="75"/>
      <c r="B146" s="28"/>
      <c r="C146" s="141" t="s">
        <v>5</v>
      </c>
      <c r="D146" s="143">
        <f>IF(DtEm&gt;0,+DtEm+DEnm,"")</f>
        <v>4380</v>
      </c>
      <c r="E146" s="142" t="s">
        <v>51</v>
      </c>
      <c r="F146" s="142"/>
      <c r="G146" s="214" t="s">
        <v>137</v>
      </c>
      <c r="H146" s="27"/>
      <c r="I146" s="81"/>
    </row>
    <row r="147" spans="1:17" ht="41.25" customHeight="1" x14ac:dyDescent="0.2">
      <c r="A147" s="75"/>
      <c r="B147" s="28"/>
      <c r="C147" s="289" t="s">
        <v>157</v>
      </c>
      <c r="D147" s="290"/>
      <c r="E147" s="290"/>
      <c r="F147" s="290"/>
      <c r="G147" s="291"/>
      <c r="H147" s="27"/>
      <c r="I147" s="81"/>
    </row>
    <row r="148" spans="1:17" ht="7.5" customHeight="1" x14ac:dyDescent="0.2">
      <c r="A148" s="75"/>
      <c r="B148" s="30"/>
      <c r="C148" s="37"/>
      <c r="D148" s="38"/>
      <c r="E148" s="39"/>
      <c r="F148" s="39"/>
      <c r="G148" s="41"/>
      <c r="H148" s="33"/>
      <c r="I148" s="81"/>
    </row>
    <row r="149" spans="1:17" ht="7.5" customHeight="1" x14ac:dyDescent="0.2">
      <c r="A149" s="75"/>
      <c r="B149" s="76"/>
      <c r="C149" s="77"/>
      <c r="D149" s="78"/>
      <c r="E149" s="79"/>
      <c r="F149" s="79"/>
      <c r="G149" s="80"/>
      <c r="H149" s="80"/>
      <c r="I149" s="81"/>
      <c r="O149" s="47"/>
      <c r="P149" s="47"/>
      <c r="Q149" s="47"/>
    </row>
    <row r="150" spans="1:17" s="47" customFormat="1" ht="5.25" customHeight="1" x14ac:dyDescent="0.2">
      <c r="A150" s="75"/>
      <c r="B150" s="76"/>
      <c r="C150" s="77"/>
      <c r="D150" s="78"/>
      <c r="E150" s="79"/>
      <c r="F150" s="79"/>
      <c r="G150" s="80"/>
      <c r="H150" s="80"/>
      <c r="I150" s="81"/>
      <c r="O150" s="2"/>
      <c r="P150" s="2"/>
      <c r="Q150" s="2"/>
    </row>
    <row r="151" spans="1:17" ht="18" customHeight="1" x14ac:dyDescent="0.2">
      <c r="A151" s="75"/>
      <c r="B151" s="23"/>
      <c r="C151" s="292" t="s">
        <v>62</v>
      </c>
      <c r="D151" s="293"/>
      <c r="E151" s="293"/>
      <c r="F151" s="293"/>
      <c r="G151" s="293"/>
      <c r="H151" s="317"/>
      <c r="I151" s="81"/>
    </row>
    <row r="152" spans="1:17" ht="7.5" customHeight="1" x14ac:dyDescent="0.2">
      <c r="A152" s="75"/>
      <c r="B152" s="28"/>
      <c r="C152" s="8"/>
      <c r="D152" s="18"/>
      <c r="E152" s="64"/>
      <c r="F152" s="175"/>
      <c r="G152" s="20"/>
      <c r="H152" s="27"/>
      <c r="I152" s="81"/>
    </row>
    <row r="153" spans="1:17" ht="10.5" customHeight="1" x14ac:dyDescent="0.2">
      <c r="A153" s="75"/>
      <c r="B153" s="28"/>
      <c r="C153" s="1" t="s">
        <v>73</v>
      </c>
      <c r="D153" s="18"/>
      <c r="E153" s="199"/>
      <c r="F153" s="199"/>
      <c r="G153" s="216"/>
      <c r="H153" s="27"/>
      <c r="I153" s="81"/>
    </row>
    <row r="154" spans="1:17" ht="3.75" customHeight="1" x14ac:dyDescent="0.2">
      <c r="A154" s="75"/>
      <c r="B154" s="28"/>
      <c r="C154" s="1"/>
      <c r="D154" s="18"/>
      <c r="E154" s="199"/>
      <c r="F154" s="199"/>
      <c r="G154" s="216"/>
      <c r="H154" s="27"/>
      <c r="I154" s="81"/>
    </row>
    <row r="155" spans="1:17" ht="13.5" customHeight="1" x14ac:dyDescent="0.2">
      <c r="A155" s="93"/>
      <c r="B155" s="35"/>
      <c r="C155" s="7" t="s">
        <v>142</v>
      </c>
      <c r="D155" s="145">
        <v>0.2</v>
      </c>
      <c r="E155" s="355" t="s">
        <v>129</v>
      </c>
      <c r="F155" s="344"/>
      <c r="G155" s="344"/>
      <c r="H155" s="27"/>
      <c r="I155" s="81"/>
    </row>
    <row r="156" spans="1:17" ht="5.25" customHeight="1" x14ac:dyDescent="0.2">
      <c r="A156" s="75"/>
      <c r="B156" s="28"/>
      <c r="C156" s="1"/>
      <c r="D156" s="18"/>
      <c r="E156" s="199"/>
      <c r="F156" s="199"/>
      <c r="G156" s="216"/>
      <c r="H156" s="27"/>
      <c r="I156" s="81"/>
    </row>
    <row r="157" spans="1:17" ht="43.5" customHeight="1" x14ac:dyDescent="0.2">
      <c r="A157" s="75"/>
      <c r="B157" s="28"/>
      <c r="C157" s="1"/>
      <c r="D157" s="217" t="s">
        <v>143</v>
      </c>
      <c r="E157" s="14" t="s">
        <v>17</v>
      </c>
      <c r="F157" s="220" t="s">
        <v>144</v>
      </c>
      <c r="G157" s="216"/>
      <c r="H157" s="27"/>
      <c r="I157" s="154"/>
    </row>
    <row r="158" spans="1:17" ht="15" customHeight="1" x14ac:dyDescent="0.2">
      <c r="A158" s="95"/>
      <c r="B158" s="42"/>
      <c r="C158" s="282" t="s">
        <v>49</v>
      </c>
      <c r="D158" s="133">
        <v>500</v>
      </c>
      <c r="E158" s="50">
        <v>0</v>
      </c>
      <c r="F158" s="221">
        <f t="shared" ref="F158:F163" si="3">++IF(E158&gt;0,E158*D158*(1-D$155),0)</f>
        <v>0</v>
      </c>
      <c r="G158" s="314" t="s">
        <v>155</v>
      </c>
      <c r="H158" s="27"/>
      <c r="I158" s="154">
        <f>+IF(E158&gt;0,D158,0)</f>
        <v>0</v>
      </c>
    </row>
    <row r="159" spans="1:17" ht="15" customHeight="1" x14ac:dyDescent="0.2">
      <c r="A159" s="95"/>
      <c r="B159" s="42"/>
      <c r="C159" s="283"/>
      <c r="D159" s="133">
        <v>2000</v>
      </c>
      <c r="E159" s="50">
        <v>3</v>
      </c>
      <c r="F159" s="221">
        <f t="shared" si="3"/>
        <v>4800</v>
      </c>
      <c r="G159" s="314"/>
      <c r="H159" s="27"/>
      <c r="I159" s="154">
        <f t="shared" ref="I159:I163" si="4">+IF(E159&gt;0,D159,0)</f>
        <v>2000</v>
      </c>
    </row>
    <row r="160" spans="1:17" ht="15" customHeight="1" x14ac:dyDescent="0.2">
      <c r="A160" s="95"/>
      <c r="B160" s="42"/>
      <c r="C160" s="283"/>
      <c r="D160" s="133">
        <v>2500</v>
      </c>
      <c r="E160" s="50">
        <v>0</v>
      </c>
      <c r="F160" s="221">
        <f t="shared" si="3"/>
        <v>0</v>
      </c>
      <c r="G160" s="314"/>
      <c r="H160" s="27"/>
      <c r="I160" s="154">
        <f t="shared" si="4"/>
        <v>0</v>
      </c>
    </row>
    <row r="161" spans="1:9" ht="15" customHeight="1" x14ac:dyDescent="0.2">
      <c r="A161" s="95"/>
      <c r="B161" s="42"/>
      <c r="C161" s="283"/>
      <c r="D161" s="133">
        <v>5000</v>
      </c>
      <c r="E161" s="50">
        <v>0</v>
      </c>
      <c r="F161" s="221">
        <f t="shared" si="3"/>
        <v>0</v>
      </c>
      <c r="G161" s="314"/>
      <c r="H161" s="27"/>
      <c r="I161" s="154">
        <f t="shared" si="4"/>
        <v>0</v>
      </c>
    </row>
    <row r="162" spans="1:9" ht="15" customHeight="1" x14ac:dyDescent="0.2">
      <c r="A162" s="95"/>
      <c r="B162" s="42"/>
      <c r="C162" s="283"/>
      <c r="D162" s="133"/>
      <c r="E162" s="50"/>
      <c r="F162" s="221">
        <f t="shared" si="3"/>
        <v>0</v>
      </c>
      <c r="G162" s="314"/>
      <c r="H162" s="27"/>
      <c r="I162" s="154">
        <f t="shared" si="4"/>
        <v>0</v>
      </c>
    </row>
    <row r="163" spans="1:9" ht="15" customHeight="1" x14ac:dyDescent="0.2">
      <c r="A163" s="93"/>
      <c r="B163" s="29"/>
      <c r="C163" s="284"/>
      <c r="D163" s="133"/>
      <c r="E163" s="50"/>
      <c r="F163" s="221">
        <f t="shared" si="3"/>
        <v>0</v>
      </c>
      <c r="G163" s="314"/>
      <c r="H163" s="27"/>
      <c r="I163" s="154">
        <f t="shared" si="4"/>
        <v>0</v>
      </c>
    </row>
    <row r="164" spans="1:9" ht="12.75" x14ac:dyDescent="0.2">
      <c r="A164" s="93"/>
      <c r="B164" s="35"/>
      <c r="C164" s="48" t="s">
        <v>30</v>
      </c>
      <c r="D164" s="280">
        <f>+IF(ISERROR(H)=TRUE,0,H)</f>
        <v>6000</v>
      </c>
      <c r="E164" s="281"/>
      <c r="F164" s="222"/>
      <c r="G164" s="216"/>
      <c r="H164" s="27"/>
      <c r="I164" s="81"/>
    </row>
    <row r="165" spans="1:9" ht="12.75" hidden="1" x14ac:dyDescent="0.2">
      <c r="A165" s="93"/>
      <c r="B165" s="35"/>
      <c r="C165" s="48" t="s">
        <v>30</v>
      </c>
      <c r="D165" s="280">
        <f>IF((+D158*E158+D159*E159+D160*E160+D161*E161+D162*E162+D163*E163)&gt;0,+D158*E158+D159*E159+D160*E160+D161*E161+D162*E162+D163*E163,0)</f>
        <v>6000</v>
      </c>
      <c r="E165" s="281"/>
      <c r="F165" s="73" t="b">
        <f>+IF(ISERROR("Vérifer les valeurs indiquées dans le tableau"),"")</f>
        <v>0</v>
      </c>
      <c r="G165" s="20"/>
      <c r="H165" s="27"/>
      <c r="I165" s="81"/>
    </row>
    <row r="166" spans="1:9" ht="5.25" customHeight="1" x14ac:dyDescent="0.2">
      <c r="A166" s="93"/>
      <c r="B166" s="35"/>
      <c r="C166" s="58"/>
      <c r="D166" s="20"/>
      <c r="E166" s="20"/>
      <c r="F166" s="73"/>
      <c r="G166" s="20"/>
      <c r="H166" s="27"/>
      <c r="I166" s="81"/>
    </row>
    <row r="167" spans="1:9" ht="28.5" customHeight="1" x14ac:dyDescent="0.2">
      <c r="A167" s="93"/>
      <c r="B167" s="35"/>
      <c r="C167" s="7" t="s">
        <v>31</v>
      </c>
      <c r="D167" s="219">
        <f>+IF(D164&gt;0,(1-D155)*H,"erreur dans le tableau")</f>
        <v>4800</v>
      </c>
      <c r="E167" s="13" t="s">
        <v>12</v>
      </c>
      <c r="F167" s="13"/>
      <c r="G167" s="214" t="s">
        <v>138</v>
      </c>
      <c r="H167" s="27"/>
      <c r="I167" s="81"/>
    </row>
    <row r="168" spans="1:9" ht="42.75" hidden="1" customHeight="1" x14ac:dyDescent="0.2">
      <c r="A168" s="93"/>
      <c r="B168" s="218"/>
      <c r="C168" s="257" t="s">
        <v>151</v>
      </c>
      <c r="D168" s="259" t="s">
        <v>152</v>
      </c>
      <c r="E168" s="259" t="s">
        <v>153</v>
      </c>
      <c r="F168" s="13"/>
      <c r="G168" s="262" t="s">
        <v>154</v>
      </c>
      <c r="H168" s="27"/>
      <c r="I168" s="81"/>
    </row>
    <row r="169" spans="1:9" ht="10.5" hidden="1" customHeight="1" x14ac:dyDescent="0.2">
      <c r="A169" s="93"/>
      <c r="B169" s="218"/>
      <c r="C169" s="258">
        <f>+D174/Dep*100</f>
        <v>9.5890410958904102</v>
      </c>
      <c r="D169" s="260" t="b">
        <v>0</v>
      </c>
      <c r="E169" s="261" t="b">
        <f>+IF(D169=TRUE,FALSE,TRUE)</f>
        <v>1</v>
      </c>
      <c r="F169" s="13"/>
      <c r="G169" s="263">
        <v>5</v>
      </c>
      <c r="H169" s="27"/>
      <c r="I169" s="81"/>
    </row>
    <row r="170" spans="1:9" ht="21.75" hidden="1" customHeight="1" x14ac:dyDescent="0.2">
      <c r="A170" s="75"/>
      <c r="B170" s="35"/>
      <c r="C170" s="285"/>
      <c r="D170" s="286"/>
      <c r="E170" s="286"/>
      <c r="F170" s="286"/>
      <c r="G170" s="286"/>
      <c r="H170" s="27"/>
      <c r="I170" s="81"/>
    </row>
    <row r="171" spans="1:9" ht="28.5" hidden="1" customHeight="1" x14ac:dyDescent="0.2">
      <c r="A171" s="93"/>
      <c r="B171" s="218"/>
      <c r="C171" s="373" t="s">
        <v>156</v>
      </c>
      <c r="D171" s="374"/>
      <c r="E171" s="374"/>
      <c r="F171" s="374"/>
      <c r="G171" s="374"/>
      <c r="H171" s="27"/>
      <c r="I171" s="81"/>
    </row>
    <row r="172" spans="1:9" ht="30.75" hidden="1" customHeight="1" x14ac:dyDescent="0.2">
      <c r="A172" s="75"/>
      <c r="B172" s="218"/>
      <c r="C172" s="318" t="str">
        <f>+IF(C169&gt;G169,"-",+IF(C169&lt;0,"non OK","OK"))</f>
        <v>-</v>
      </c>
      <c r="D172" s="319"/>
      <c r="E172" s="319"/>
      <c r="F172" s="319"/>
      <c r="G172" s="319"/>
      <c r="H172" s="27"/>
      <c r="I172" s="81"/>
    </row>
    <row r="173" spans="1:9" ht="21.75" hidden="1" customHeight="1" x14ac:dyDescent="0.2">
      <c r="A173" s="75"/>
      <c r="B173" s="35"/>
      <c r="C173" s="375"/>
      <c r="D173" s="376"/>
      <c r="E173" s="376"/>
      <c r="F173" s="376"/>
      <c r="G173" s="376"/>
      <c r="H173" s="27"/>
      <c r="I173" s="81"/>
    </row>
    <row r="174" spans="1:9" ht="37.5" customHeight="1" x14ac:dyDescent="0.2">
      <c r="A174" s="93"/>
      <c r="B174" s="35"/>
      <c r="C174" s="228" t="s">
        <v>32</v>
      </c>
      <c r="D174" s="233">
        <f>+IF(D164&gt;0,IF($D$32&gt;0,+D167-Dep,0),"erreur dans le tableau")</f>
        <v>420</v>
      </c>
      <c r="E174" s="234" t="s">
        <v>148</v>
      </c>
      <c r="F174" s="358" t="str">
        <f>+CONCATENATE("Le débit à extraire (Dep) de ",+ROUND(Dep,0)," m3/h doit être légèrement inférieur au débit global des extracteurs avec filtres encrassés (Dext) de ",ROUND(D167,0)," m3/h")</f>
        <v>Le débit à extraire (Dep) de 4380 m3/h doit être légèrement inférieur au débit global des extracteurs avec filtres encrassés (Dext) de 4800 m3/h</v>
      </c>
      <c r="G174" s="359"/>
      <c r="H174" s="27"/>
      <c r="I174" s="81"/>
    </row>
    <row r="175" spans="1:9" ht="40.5" customHeight="1" x14ac:dyDescent="0.2">
      <c r="A175" s="93"/>
      <c r="B175" s="35"/>
      <c r="C175" s="371" t="str">
        <f>+CONCATENATE("Le confinement prévu (avis d'expert) résiste à un débit global des extracteurs avec filtres encrassés (Dext) supérieur au débit à extraire (Dep) de  :  ",G169," % 
Attention : Si le pourcentage indiqué est trop important, le confinement risque de s'endommager voire de se déchirer")</f>
        <v>Le confinement prévu (avis d'expert) résiste à un débit global des extracteurs avec filtres encrassés (Dext) supérieur au débit à extraire (Dep) de  :  5 % 
Attention : Si le pourcentage indiqué est trop important, le confinement risque de s'endommager voire de se déchirer</v>
      </c>
      <c r="D175" s="372"/>
      <c r="E175" s="372"/>
      <c r="F175" s="372"/>
      <c r="G175" s="372"/>
      <c r="H175" s="27"/>
      <c r="I175" s="81"/>
    </row>
    <row r="176" spans="1:9" ht="21.75" customHeight="1" x14ac:dyDescent="0.2">
      <c r="A176" s="93"/>
      <c r="B176" s="35"/>
      <c r="C176" s="360" t="str">
        <f>+CONCATENATE("Sachant que le débit global des extracteurs avec filtres encrassés (Dext) est ",ABS(ROUND(C169,0)),+IF(OR(C169&gt;0,C169=0)," % supérieur au débit à extraire (Dep), le considérez-vous conforme : "," % inférieur au débit à extraire (Dep), le considérez-vous conforme : "))</f>
        <v xml:space="preserve">Sachant que le débit global des extracteurs avec filtres encrassés (Dext) est 10 % supérieur au débit à extraire (Dep), le considérez-vous conforme : </v>
      </c>
      <c r="D176" s="361"/>
      <c r="E176" s="361"/>
      <c r="F176" s="361"/>
      <c r="G176" s="361"/>
      <c r="H176" s="27"/>
      <c r="I176" s="81"/>
    </row>
    <row r="177" spans="1:9" ht="3" customHeight="1" x14ac:dyDescent="0.2">
      <c r="A177" s="75"/>
      <c r="B177" s="35"/>
      <c r="C177" s="255"/>
      <c r="D177" s="256"/>
      <c r="E177" s="256"/>
      <c r="F177" s="256"/>
      <c r="G177" s="256"/>
      <c r="H177" s="27"/>
      <c r="I177" s="81"/>
    </row>
    <row r="178" spans="1:9" ht="3" customHeight="1" x14ac:dyDescent="0.2">
      <c r="A178" s="75"/>
      <c r="B178" s="35"/>
      <c r="C178" s="199"/>
      <c r="D178" s="231"/>
      <c r="E178" s="231"/>
      <c r="F178" s="231"/>
      <c r="G178" s="231"/>
      <c r="H178" s="27"/>
      <c r="I178" s="81"/>
    </row>
    <row r="179" spans="1:9" ht="3.75" customHeight="1" x14ac:dyDescent="0.2">
      <c r="A179" s="75"/>
      <c r="B179" s="35"/>
      <c r="C179" s="264"/>
      <c r="D179" s="265">
        <v>2500</v>
      </c>
      <c r="E179" s="266"/>
      <c r="F179" s="266"/>
      <c r="G179" s="267"/>
      <c r="H179" s="27"/>
      <c r="I179" s="81"/>
    </row>
    <row r="180" spans="1:9" ht="18.75" customHeight="1" x14ac:dyDescent="0.2">
      <c r="A180" s="75"/>
      <c r="B180" s="35"/>
      <c r="C180" s="268" t="s">
        <v>127</v>
      </c>
      <c r="D180" s="269" t="str">
        <f>+CONCATENATE(D179,"   m3/h  et un taux d'encrassement de  ",D155,".  Vous devriez avoir ",+IF(Dep&gt;0,+ROUNDUP(+Dep/(D179-(D179*D155)),0),"-")," extracteur(s) d'indiqué(s) dans le bilan")</f>
        <v>2500   m3/h  et un taux d'encrassement de  0,2.  Vous devriez avoir 3 extracteur(s) d'indiqué(s) dans le bilan</v>
      </c>
      <c r="E180" s="269"/>
      <c r="F180" s="270"/>
      <c r="G180" s="266"/>
      <c r="H180" s="27"/>
      <c r="I180" s="81"/>
    </row>
    <row r="181" spans="1:9" ht="2.25" customHeight="1" x14ac:dyDescent="0.2">
      <c r="A181" s="75"/>
      <c r="B181" s="28"/>
      <c r="C181" s="271"/>
      <c r="D181" s="266"/>
      <c r="E181" s="269"/>
      <c r="F181" s="270"/>
      <c r="G181" s="272"/>
      <c r="H181" s="27"/>
      <c r="I181" s="81"/>
    </row>
    <row r="182" spans="1:9" ht="7.5" customHeight="1" x14ac:dyDescent="0.2">
      <c r="A182" s="75"/>
      <c r="B182" s="35"/>
      <c r="C182" s="250"/>
      <c r="D182" s="250"/>
      <c r="E182" s="250"/>
      <c r="F182" s="250"/>
      <c r="G182" s="27"/>
      <c r="H182" s="27"/>
      <c r="I182" s="81"/>
    </row>
    <row r="183" spans="1:9" ht="5.25" customHeight="1" x14ac:dyDescent="0.2">
      <c r="A183" s="75"/>
      <c r="B183" s="28"/>
      <c r="C183" s="199"/>
      <c r="D183" s="199"/>
      <c r="E183" s="199"/>
      <c r="F183" s="199"/>
      <c r="G183" s="199"/>
      <c r="H183" s="27"/>
      <c r="I183" s="81"/>
    </row>
    <row r="184" spans="1:9" ht="6" customHeight="1" x14ac:dyDescent="0.2">
      <c r="A184" s="75"/>
      <c r="B184" s="28"/>
      <c r="C184" s="129"/>
      <c r="D184" s="129"/>
      <c r="E184" s="129"/>
      <c r="F184" s="175"/>
      <c r="G184" s="129"/>
      <c r="H184" s="27"/>
      <c r="I184" s="81"/>
    </row>
    <row r="185" spans="1:9" ht="12.75" customHeight="1" x14ac:dyDescent="0.2">
      <c r="A185" s="93"/>
      <c r="B185" s="35"/>
      <c r="C185" s="1" t="s">
        <v>74</v>
      </c>
      <c r="D185" s="14" t="s">
        <v>8</v>
      </c>
      <c r="E185" s="14" t="s">
        <v>17</v>
      </c>
      <c r="F185" s="73"/>
      <c r="G185" s="43"/>
      <c r="H185" s="27"/>
      <c r="I185" s="81"/>
    </row>
    <row r="186" spans="1:9" ht="23.25" customHeight="1" x14ac:dyDescent="0.2">
      <c r="A186" s="93"/>
      <c r="B186" s="35"/>
      <c r="C186" s="137" t="s">
        <v>48</v>
      </c>
      <c r="D186" s="133">
        <v>2500</v>
      </c>
      <c r="E186" s="133">
        <v>1</v>
      </c>
      <c r="F186" s="343" t="str">
        <f>+CONCATENATE("Prévoir a minima un extracteur de secours, la puissance doit être a minima 
égale à ",+MAX(I157:I163)," ","m3/h")</f>
        <v>Prévoir a minima un extracteur de secours, la puissance doit être a minima 
égale à 2000 m3/h</v>
      </c>
      <c r="G186" s="344"/>
      <c r="H186" s="27"/>
      <c r="I186" s="81"/>
    </row>
    <row r="187" spans="1:9" ht="33" customHeight="1" x14ac:dyDescent="0.2">
      <c r="A187" s="93"/>
      <c r="B187" s="35"/>
      <c r="C187" s="132" t="s">
        <v>50</v>
      </c>
      <c r="D187" s="219">
        <f>+IF(D164&gt;0,IF($D$32&gt;0,ROUNDUP((H+D186*E186-Dep)/100,0)*100,0),"attention, erreur dans le tableau")</f>
        <v>4200</v>
      </c>
      <c r="E187" s="13" t="s">
        <v>12</v>
      </c>
      <c r="F187" s="357" t="s">
        <v>139</v>
      </c>
      <c r="G187" s="344"/>
      <c r="H187" s="27"/>
      <c r="I187" s="81"/>
    </row>
    <row r="188" spans="1:9" ht="4.5" customHeight="1" x14ac:dyDescent="0.2">
      <c r="A188" s="93"/>
      <c r="B188" s="35"/>
      <c r="C188" s="132"/>
      <c r="D188" s="134"/>
      <c r="E188" s="13"/>
      <c r="F188" s="13"/>
      <c r="G188" s="214"/>
      <c r="H188" s="27"/>
      <c r="I188" s="81"/>
    </row>
    <row r="189" spans="1:9" ht="15" customHeight="1" x14ac:dyDescent="0.2">
      <c r="A189" s="93"/>
      <c r="B189" s="35"/>
      <c r="C189" s="1" t="s">
        <v>75</v>
      </c>
      <c r="D189" s="14" t="s">
        <v>8</v>
      </c>
      <c r="E189" s="14" t="s">
        <v>17</v>
      </c>
      <c r="F189" s="13"/>
      <c r="G189" s="214"/>
      <c r="H189" s="27"/>
      <c r="I189" s="81"/>
    </row>
    <row r="190" spans="1:9" ht="43.5" customHeight="1" x14ac:dyDescent="0.2">
      <c r="A190" s="93"/>
      <c r="B190" s="35"/>
      <c r="C190" s="151" t="s">
        <v>53</v>
      </c>
      <c r="D190" s="146">
        <v>2500</v>
      </c>
      <c r="E190" s="50">
        <v>2</v>
      </c>
      <c r="F190" s="356" t="str">
        <f>+CONCATENATE("Si pas de valeur indiquée dans le bilan aéraulique, prendre soit :
   - le Débit d'air neuf (danfarrond ou Q) calculé à l'étape 9 et égale à ",+ROUND(Danfarrond,0)," ",E104," 
   - 2 500 m3/h qui correspond à des débits souvent trouvés pour des vannes de réglages standards")</f>
        <v>Si pas de valeur indiquée dans le bilan aéraulique, prendre soit :
   - le Débit d'air neuf (danfarrond ou Q) calculé à l'étape 9 et égale à 900 m3/h 
   - 2 500 m3/h qui correspond à des débits souvent trouvés pour des vannes de réglages standards</v>
      </c>
      <c r="G190" s="344"/>
      <c r="H190" s="27"/>
      <c r="I190" s="81"/>
    </row>
    <row r="191" spans="1:9" ht="6" customHeight="1" x14ac:dyDescent="0.2">
      <c r="A191" s="93"/>
      <c r="B191" s="35"/>
      <c r="C191" s="170"/>
      <c r="D191" s="43"/>
      <c r="E191" s="43"/>
      <c r="F191" s="43"/>
      <c r="G191" s="43"/>
      <c r="H191" s="27"/>
      <c r="I191" s="81"/>
    </row>
    <row r="192" spans="1:9" ht="36.75" customHeight="1" x14ac:dyDescent="0.2">
      <c r="A192" s="93"/>
      <c r="B192" s="35"/>
      <c r="C192" s="362" t="str">
        <f>+IF(D190*E190&gt;D187,"Le nombre d'entrées d'air additionnelle semble suffisant","Le nombre d'entrée d'air additionnelle semble insuffisant")</f>
        <v>Le nombre d'entrées d'air additionnelle semble suffisant</v>
      </c>
      <c r="D192" s="363"/>
      <c r="E192" s="363"/>
      <c r="F192" s="363"/>
      <c r="G192" s="363"/>
      <c r="H192" s="27"/>
      <c r="I192" s="81"/>
    </row>
    <row r="193" spans="1:10" ht="27.75" customHeight="1" x14ac:dyDescent="0.2">
      <c r="A193" s="93"/>
      <c r="B193" s="35"/>
      <c r="C193" s="362" t="s">
        <v>89</v>
      </c>
      <c r="D193" s="363"/>
      <c r="E193" s="363"/>
      <c r="F193" s="363"/>
      <c r="G193" s="363"/>
      <c r="H193" s="27"/>
      <c r="I193" s="81"/>
    </row>
    <row r="194" spans="1:10" ht="4.5" customHeight="1" x14ac:dyDescent="0.2">
      <c r="A194" s="93"/>
      <c r="B194" s="35"/>
      <c r="C194" s="232"/>
      <c r="D194" s="227"/>
      <c r="E194" s="227"/>
      <c r="F194" s="227"/>
      <c r="G194" s="227"/>
      <c r="H194" s="27"/>
      <c r="I194" s="81"/>
    </row>
    <row r="195" spans="1:10" ht="30" customHeight="1" x14ac:dyDescent="0.2">
      <c r="A195" s="93"/>
      <c r="B195" s="35"/>
      <c r="C195" s="320" t="str">
        <f>+IF(D190*E190&lt;D187,+CONCATENATE("Le nombre d'entrée (s) d'air additionnelle (s) de réglage doit normallement être de ",+IF(D190&gt;0,IF(+ROUNDUP(D187/D190,0)&gt;0,+ROUNDUP(D187/D190,0),+ROUNDUP(D187/2500,0)))," pour un débit unitaire égale à ",+IF(D190=0,2500,D190)," m3/h"),"")</f>
        <v/>
      </c>
      <c r="D195" s="320"/>
      <c r="E195" s="320"/>
      <c r="F195" s="320"/>
      <c r="G195" s="320"/>
      <c r="H195" s="27"/>
      <c r="I195" s="81"/>
    </row>
    <row r="196" spans="1:10" ht="21.75" customHeight="1" x14ac:dyDescent="0.2">
      <c r="A196" s="93"/>
      <c r="B196" s="35"/>
      <c r="C196" s="230"/>
      <c r="D196" s="229"/>
      <c r="E196" s="229"/>
      <c r="F196" s="229"/>
      <c r="G196" s="229"/>
      <c r="H196" s="27"/>
      <c r="I196" s="81"/>
    </row>
    <row r="197" spans="1:10" ht="6.75" customHeight="1" x14ac:dyDescent="0.2">
      <c r="A197" s="93"/>
      <c r="B197" s="172"/>
      <c r="C197" s="173"/>
      <c r="D197" s="174"/>
      <c r="E197" s="174"/>
      <c r="F197" s="174"/>
      <c r="G197" s="173"/>
      <c r="H197" s="33"/>
      <c r="I197" s="81"/>
    </row>
    <row r="198" spans="1:10" ht="6.75" customHeight="1" x14ac:dyDescent="0.2">
      <c r="A198" s="235"/>
      <c r="B198" s="236"/>
      <c r="C198" s="237"/>
      <c r="D198" s="238"/>
      <c r="E198" s="238"/>
      <c r="F198" s="238"/>
      <c r="G198" s="237"/>
      <c r="H198" s="225"/>
      <c r="I198" s="226"/>
    </row>
    <row r="199" spans="1:10" ht="16.5" customHeight="1" x14ac:dyDescent="0.2">
      <c r="A199" s="239"/>
      <c r="B199" s="240"/>
      <c r="C199" s="241"/>
      <c r="D199" s="242"/>
      <c r="E199" s="243"/>
      <c r="F199" s="243"/>
      <c r="G199" s="244"/>
      <c r="H199" s="245"/>
      <c r="I199" s="246"/>
    </row>
    <row r="200" spans="1:10" ht="30.75" customHeight="1" x14ac:dyDescent="0.2">
      <c r="A200" s="75"/>
      <c r="B200" s="161"/>
      <c r="C200" s="315" t="s">
        <v>84</v>
      </c>
      <c r="D200" s="316"/>
      <c r="E200" s="316"/>
      <c r="F200" s="316"/>
      <c r="G200" s="316"/>
      <c r="H200" s="162"/>
      <c r="I200" s="81"/>
    </row>
    <row r="201" spans="1:10" ht="24.75" customHeight="1" x14ac:dyDescent="0.2">
      <c r="A201" s="75"/>
      <c r="B201" s="161"/>
      <c r="C201" s="351" t="s">
        <v>80</v>
      </c>
      <c r="D201" s="353" t="s">
        <v>79</v>
      </c>
      <c r="E201" s="354"/>
      <c r="F201" s="332" t="s">
        <v>81</v>
      </c>
      <c r="G201" s="333"/>
      <c r="H201" s="162"/>
      <c r="I201" s="81"/>
    </row>
    <row r="202" spans="1:10" ht="47.25" customHeight="1" x14ac:dyDescent="0.2">
      <c r="A202" s="75"/>
      <c r="B202" s="161"/>
      <c r="C202" s="352"/>
      <c r="D202" s="326" t="s">
        <v>150</v>
      </c>
      <c r="E202" s="327"/>
      <c r="F202" s="334"/>
      <c r="G202" s="335"/>
      <c r="H202" s="162"/>
      <c r="I202" s="81"/>
    </row>
    <row r="203" spans="1:10" ht="54.75" customHeight="1" x14ac:dyDescent="0.2">
      <c r="A203" s="75"/>
      <c r="B203" s="161"/>
      <c r="C203" s="207" t="s">
        <v>83</v>
      </c>
      <c r="D203" s="328" t="str">
        <f>+IF(E203="",+IF(F39="OK","oui","non"),"")</f>
        <v>oui</v>
      </c>
      <c r="E203" s="329"/>
      <c r="F203" s="336" t="str">
        <f>+IF(D38=1,IF(Y&gt;5.99,"Y est conforme à l'art. 4 de l'arrêté du 08 avril 2013","Y est non conforme à l'art. 4 de l'arrêté du 08 avril 2013,Y doit être a minima de 6"),IF(D38=2,IF(Y=10,"Y est conforme à l'art. 4 de l'arrêté du 08 avril 2013","Y est non conforme à l'art. 4 de l'arrêté du 08 avril 2013, Y doit être a minima égale à 10")))</f>
        <v>Y est conforme à l'art. 4 de l'arrêté du 08 avril 2013</v>
      </c>
      <c r="G203" s="337"/>
      <c r="H203" s="162"/>
      <c r="I203" s="81"/>
    </row>
    <row r="204" spans="1:10" ht="113.25" customHeight="1" x14ac:dyDescent="0.2">
      <c r="A204" s="75"/>
      <c r="B204" s="161"/>
      <c r="C204" s="207" t="s">
        <v>128</v>
      </c>
      <c r="D204" s="328" t="str">
        <f>+IF(SUM(D58:F58)&gt;0,"oui","non")</f>
        <v>oui</v>
      </c>
      <c r="E204" s="350"/>
      <c r="F204" s="338"/>
      <c r="G204" s="339"/>
      <c r="H204" s="162"/>
      <c r="I204" s="81"/>
    </row>
    <row r="205" spans="1:10" ht="115.5" customHeight="1" x14ac:dyDescent="0.2">
      <c r="A205" s="75"/>
      <c r="B205" s="161"/>
      <c r="C205" s="207" t="s">
        <v>140</v>
      </c>
      <c r="D205" s="328" t="str">
        <f>+IF(SUM(D76:F76)&gt;0,"oui","-")</f>
        <v>oui</v>
      </c>
      <c r="E205" s="350"/>
      <c r="F205" s="338"/>
      <c r="G205" s="345"/>
      <c r="H205" s="162"/>
      <c r="I205" s="81"/>
    </row>
    <row r="206" spans="1:10" ht="72.75" customHeight="1" x14ac:dyDescent="0.2">
      <c r="A206" s="75"/>
      <c r="B206" s="161"/>
      <c r="C206" s="207" t="s">
        <v>86</v>
      </c>
      <c r="D206" s="330" t="str">
        <f>+IF(D169=TRUE,"oui (avis d'expert)",+IF(D164&gt;0,IF($D$32&gt;0,+IF(E206="",+IF(OR(C172="OK",AND(C172="-",D190*E190&gt;D187)),"oui",+IF(C172="-","trop important","non")),"")),"erreur dans le tableau"))</f>
        <v>oui</v>
      </c>
      <c r="E206" s="331"/>
      <c r="F206" s="336" t="str">
        <f>+IF(D164&gt;0,IF(OR(D190*E190&lt;D187),"Attention : le confinement risque de s'endommager. L'entreprise doit ajouter des entrées d'air aditionnelles ",+IF(C169&lt;0,"Attention, le débit extrait risque d'être insuffisant pour obtenir la bonne dépression","Le débit d'extraction prévu semble a priori correct (en prenant en compte les entrées d'air additionnelles)")),"erreur dans le tableau")</f>
        <v>Le débit d'extraction prévu semble a priori correct (en prenant en compte les entrées d'air additionnelles)</v>
      </c>
      <c r="G206" s="337"/>
      <c r="H206" s="162"/>
      <c r="I206" s="81"/>
      <c r="J206" s="159"/>
    </row>
    <row r="207" spans="1:10" ht="128.25" customHeight="1" x14ac:dyDescent="0.2">
      <c r="A207" s="75"/>
      <c r="B207" s="161"/>
      <c r="C207" s="207" t="s">
        <v>88</v>
      </c>
      <c r="D207" s="328" t="str">
        <f>+IF(E207="",IF(E186*D186&gt;0,"oui","non"),"")</f>
        <v>oui</v>
      </c>
      <c r="E207" s="329"/>
      <c r="F207" s="338"/>
      <c r="G207" s="339"/>
      <c r="H207" s="162"/>
      <c r="I207" s="81"/>
    </row>
    <row r="208" spans="1:10" ht="129.75" customHeight="1" x14ac:dyDescent="0.2">
      <c r="A208" s="75"/>
      <c r="B208" s="161"/>
      <c r="C208" s="251" t="s">
        <v>149</v>
      </c>
      <c r="D208" s="328" t="str">
        <f>+IF(E208="",IF(D190*E190&gt;D187,"oui","non"),"")</f>
        <v>oui</v>
      </c>
      <c r="E208" s="329"/>
      <c r="F208" s="338"/>
      <c r="G208" s="339"/>
      <c r="H208" s="162"/>
      <c r="I208" s="81"/>
    </row>
    <row r="209" spans="1:9" ht="20.25" customHeight="1" x14ac:dyDescent="0.2">
      <c r="A209" s="75"/>
      <c r="B209" s="161"/>
      <c r="C209" s="247"/>
      <c r="D209" s="247"/>
      <c r="E209" s="247"/>
      <c r="F209" s="247"/>
      <c r="G209" s="247"/>
      <c r="H209" s="162"/>
      <c r="I209" s="81"/>
    </row>
    <row r="210" spans="1:9" ht="26.25" customHeight="1" x14ac:dyDescent="0.2">
      <c r="A210" s="75"/>
      <c r="B210" s="161"/>
      <c r="C210" s="324" t="s">
        <v>82</v>
      </c>
      <c r="D210" s="325"/>
      <c r="E210" s="325"/>
      <c r="F210" s="325"/>
      <c r="G210" s="325"/>
      <c r="H210" s="162"/>
      <c r="I210" s="81"/>
    </row>
    <row r="211" spans="1:9" ht="303" customHeight="1" x14ac:dyDescent="0.2">
      <c r="A211" s="75"/>
      <c r="B211" s="161"/>
      <c r="C211" s="302"/>
      <c r="D211" s="303"/>
      <c r="E211" s="303"/>
      <c r="F211" s="303"/>
      <c r="G211" s="304"/>
      <c r="H211" s="162"/>
      <c r="I211" s="81"/>
    </row>
    <row r="212" spans="1:9" ht="3" hidden="1" customHeight="1" x14ac:dyDescent="0.2">
      <c r="A212" s="75"/>
      <c r="B212" s="161"/>
      <c r="C212" s="305"/>
      <c r="D212" s="306"/>
      <c r="E212" s="306"/>
      <c r="F212" s="306"/>
      <c r="G212" s="307"/>
      <c r="H212" s="162"/>
      <c r="I212" s="81"/>
    </row>
    <row r="213" spans="1:9" ht="11.25" customHeight="1" x14ac:dyDescent="0.2">
      <c r="A213" s="75"/>
      <c r="B213" s="161"/>
      <c r="C213" s="252"/>
      <c r="D213" s="253"/>
      <c r="E213" s="253"/>
      <c r="F213" s="253"/>
      <c r="G213" s="254"/>
      <c r="H213" s="162"/>
      <c r="I213" s="81"/>
    </row>
    <row r="214" spans="1:9" ht="36" customHeight="1" x14ac:dyDescent="0.2">
      <c r="A214" s="75"/>
      <c r="B214" s="161"/>
      <c r="C214" s="276"/>
      <c r="D214" s="276"/>
      <c r="E214" s="276"/>
      <c r="F214" s="276"/>
      <c r="G214" s="276"/>
      <c r="H214" s="162"/>
      <c r="I214" s="81"/>
    </row>
    <row r="215" spans="1:9" ht="409.6" customHeight="1" x14ac:dyDescent="0.2">
      <c r="A215" s="75"/>
      <c r="B215" s="163"/>
      <c r="C215" s="164"/>
      <c r="D215" s="165"/>
      <c r="E215" s="166"/>
      <c r="F215" s="166"/>
      <c r="G215" s="167"/>
      <c r="H215" s="168"/>
      <c r="I215" s="81"/>
    </row>
    <row r="216" spans="1:9" ht="34.5" customHeight="1" x14ac:dyDescent="0.2">
      <c r="A216" s="82"/>
      <c r="B216" s="83"/>
      <c r="C216" s="171" t="s">
        <v>91</v>
      </c>
      <c r="D216" s="99"/>
      <c r="E216" s="100"/>
      <c r="F216" s="100"/>
      <c r="G216" s="153" t="s">
        <v>158</v>
      </c>
      <c r="H216" s="87"/>
      <c r="I216" s="88"/>
    </row>
  </sheetData>
  <sheetProtection password="DC8F" sheet="1" objects="1" scenarios="1" selectLockedCells="1" autoFilter="0"/>
  <mergeCells count="75">
    <mergeCell ref="F54:G54"/>
    <mergeCell ref="F47:G47"/>
    <mergeCell ref="F174:G174"/>
    <mergeCell ref="C176:G176"/>
    <mergeCell ref="C193:G193"/>
    <mergeCell ref="C192:G192"/>
    <mergeCell ref="F130:G130"/>
    <mergeCell ref="F96:G96"/>
    <mergeCell ref="F97:G97"/>
    <mergeCell ref="F102:G102"/>
    <mergeCell ref="F104:G104"/>
    <mergeCell ref="C116:G116"/>
    <mergeCell ref="C137:E137"/>
    <mergeCell ref="C175:G175"/>
    <mergeCell ref="C171:G171"/>
    <mergeCell ref="C173:G173"/>
    <mergeCell ref="C18:F18"/>
    <mergeCell ref="E100:G100"/>
    <mergeCell ref="F205:G205"/>
    <mergeCell ref="C22:F22"/>
    <mergeCell ref="C20:F20"/>
    <mergeCell ref="D204:E204"/>
    <mergeCell ref="F204:G204"/>
    <mergeCell ref="D205:E205"/>
    <mergeCell ref="C201:C202"/>
    <mergeCell ref="D201:E201"/>
    <mergeCell ref="E155:G155"/>
    <mergeCell ref="D164:E164"/>
    <mergeCell ref="F190:G190"/>
    <mergeCell ref="F187:G187"/>
    <mergeCell ref="F186:G186"/>
    <mergeCell ref="F52:G52"/>
    <mergeCell ref="C210:G210"/>
    <mergeCell ref="D202:E202"/>
    <mergeCell ref="D203:E203"/>
    <mergeCell ref="D206:E206"/>
    <mergeCell ref="D207:E207"/>
    <mergeCell ref="D208:E208"/>
    <mergeCell ref="F201:G202"/>
    <mergeCell ref="F203:G203"/>
    <mergeCell ref="F206:G206"/>
    <mergeCell ref="F208:G208"/>
    <mergeCell ref="F207:G207"/>
    <mergeCell ref="C211:G212"/>
    <mergeCell ref="D6:G6"/>
    <mergeCell ref="D8:G8"/>
    <mergeCell ref="D10:E10"/>
    <mergeCell ref="C24:G24"/>
    <mergeCell ref="C36:G36"/>
    <mergeCell ref="C45:G45"/>
    <mergeCell ref="C50:G50"/>
    <mergeCell ref="C88:G88"/>
    <mergeCell ref="D12:E12"/>
    <mergeCell ref="G158:G163"/>
    <mergeCell ref="C200:G200"/>
    <mergeCell ref="C151:H151"/>
    <mergeCell ref="C172:G172"/>
    <mergeCell ref="C195:G195"/>
    <mergeCell ref="G10:G12"/>
    <mergeCell ref="D1:I1"/>
    <mergeCell ref="D165:E165"/>
    <mergeCell ref="C158:C163"/>
    <mergeCell ref="C170:G170"/>
    <mergeCell ref="C68:G68"/>
    <mergeCell ref="C85:G85"/>
    <mergeCell ref="C147:G147"/>
    <mergeCell ref="C94:G94"/>
    <mergeCell ref="C109:G109"/>
    <mergeCell ref="C120:G120"/>
    <mergeCell ref="C128:G128"/>
    <mergeCell ref="C138:G138"/>
    <mergeCell ref="C133:G133"/>
    <mergeCell ref="C144:G144"/>
    <mergeCell ref="D4:F4"/>
    <mergeCell ref="C16:F16"/>
  </mergeCells>
  <conditionalFormatting sqref="D139">
    <cfRule type="cellIs" dxfId="58" priority="4" operator="lessThan">
      <formula>0.1</formula>
    </cfRule>
    <cfRule type="cellIs" dxfId="57" priority="14" operator="lessThan">
      <formula>0</formula>
    </cfRule>
    <cfRule type="expression" dxfId="56" priority="81">
      <formula>+IF(#REF!=TRUE,TRUE,FALSE)</formula>
    </cfRule>
  </conditionalFormatting>
  <conditionalFormatting sqref="D47">
    <cfRule type="cellIs" dxfId="55" priority="71" operator="greaterThan">
      <formula>9.999</formula>
    </cfRule>
    <cfRule type="cellIs" dxfId="54" priority="72" operator="greaterThan">
      <formula>"9.999"</formula>
    </cfRule>
    <cfRule type="cellIs" dxfId="53" priority="73" operator="lessThan">
      <formula>10</formula>
    </cfRule>
  </conditionalFormatting>
  <conditionalFormatting sqref="C183:G184 C172:G172 C177:G181">
    <cfRule type="containsText" dxfId="52" priority="65" operator="containsText" text="insuffisant">
      <formula>NOT(ISERROR(SEARCH("insuffisant",C172)))</formula>
    </cfRule>
    <cfRule type="containsText" dxfId="51" priority="66" operator="containsText" text="trop important">
      <formula>NOT(ISERROR(SEARCH("trop important",C172)))</formula>
    </cfRule>
    <cfRule type="containsText" dxfId="50" priority="67" operator="containsText" text="correct">
      <formula>NOT(ISERROR(SEARCH("correct",C172)))</formula>
    </cfRule>
  </conditionalFormatting>
  <conditionalFormatting sqref="G40:G42">
    <cfRule type="containsText" dxfId="49" priority="63" operator="containsText" text="non conforme">
      <formula>NOT(ISERROR(SEARCH("non conforme",G40)))</formula>
    </cfRule>
    <cfRule type="containsText" dxfId="48" priority="64" operator="containsText" text="conforme">
      <formula>NOT(ISERROR(SEARCH("conforme",G40)))</formula>
    </cfRule>
  </conditionalFormatting>
  <conditionalFormatting sqref="D140">
    <cfRule type="cellIs" dxfId="47" priority="62" operator="equal">
      <formula>0</formula>
    </cfRule>
  </conditionalFormatting>
  <conditionalFormatting sqref="J206">
    <cfRule type="containsText" dxfId="46" priority="57" operator="containsText" text="insuffisant">
      <formula>NOT(ISERROR(SEARCH("insuffisant",J206)))</formula>
    </cfRule>
    <cfRule type="containsText" dxfId="45" priority="58" operator="containsText" text="trop important">
      <formula>NOT(ISERROR(SEARCH("trop important",J206)))</formula>
    </cfRule>
    <cfRule type="containsText" dxfId="44" priority="59" operator="containsText" text="correct">
      <formula>NOT(ISERROR(SEARCH("correct",J206)))</formula>
    </cfRule>
  </conditionalFormatting>
  <conditionalFormatting sqref="D207:F208 D203:E203 D206:E206 D204:D205">
    <cfRule type="containsText" dxfId="43" priority="55" operator="containsText" text="non">
      <formula>NOT(ISERROR(SEARCH("non",D203)))</formula>
    </cfRule>
    <cfRule type="containsText" dxfId="42" priority="56" operator="containsText" text="oui">
      <formula>NOT(ISERROR(SEARCH("oui",D203)))</formula>
    </cfRule>
  </conditionalFormatting>
  <conditionalFormatting sqref="C116:G116">
    <cfRule type="containsText" dxfId="41" priority="54" operator="containsText" text="entrée">
      <formula>NOT(ISERROR(SEARCH("entrée",C116)))</formula>
    </cfRule>
  </conditionalFormatting>
  <conditionalFormatting sqref="D174">
    <cfRule type="cellIs" dxfId="40" priority="53" operator="lessThan">
      <formula>0</formula>
    </cfRule>
  </conditionalFormatting>
  <conditionalFormatting sqref="F76">
    <cfRule type="cellIs" dxfId="39" priority="52" operator="greaterThan">
      <formula>$F$83</formula>
    </cfRule>
  </conditionalFormatting>
  <conditionalFormatting sqref="D76">
    <cfRule type="cellIs" dxfId="38" priority="51" operator="greaterThan">
      <formula>$D$83</formula>
    </cfRule>
  </conditionalFormatting>
  <conditionalFormatting sqref="E76">
    <cfRule type="cellIs" dxfId="37" priority="50" operator="greaterThan">
      <formula>$E$83</formula>
    </cfRule>
  </conditionalFormatting>
  <conditionalFormatting sqref="D58">
    <cfRule type="cellIs" dxfId="36" priority="49" operator="greaterThan">
      <formula>$D$66</formula>
    </cfRule>
  </conditionalFormatting>
  <conditionalFormatting sqref="F123">
    <cfRule type="cellIs" dxfId="35" priority="45" operator="greaterThan">
      <formula>$F$124</formula>
    </cfRule>
  </conditionalFormatting>
  <conditionalFormatting sqref="E123">
    <cfRule type="cellIs" dxfId="34" priority="44" operator="greaterThan">
      <formula>$E$124</formula>
    </cfRule>
  </conditionalFormatting>
  <conditionalFormatting sqref="D123">
    <cfRule type="cellIs" dxfId="33" priority="43" operator="greaterThan">
      <formula>$D$124</formula>
    </cfRule>
  </conditionalFormatting>
  <conditionalFormatting sqref="F204:F205">
    <cfRule type="containsText" dxfId="32" priority="41" operator="containsText" text="non">
      <formula>NOT(ISERROR(SEARCH("non",F204)))</formula>
    </cfRule>
    <cfRule type="containsText" dxfId="31" priority="42" operator="containsText" text="oui">
      <formula>NOT(ISERROR(SEARCH("oui",F204)))</formula>
    </cfRule>
  </conditionalFormatting>
  <conditionalFormatting sqref="D205:E205">
    <cfRule type="cellIs" dxfId="30" priority="40" operator="equal">
      <formula>"-"</formula>
    </cfRule>
  </conditionalFormatting>
  <conditionalFormatting sqref="D206:E206">
    <cfRule type="containsText" dxfId="29" priority="38" operator="containsText" text="important">
      <formula>NOT(ISERROR(SEARCH("important",D206)))</formula>
    </cfRule>
  </conditionalFormatting>
  <conditionalFormatting sqref="F160">
    <cfRule type="expression" dxfId="28" priority="33">
      <formula>+ISERROR($F$160)</formula>
    </cfRule>
  </conditionalFormatting>
  <conditionalFormatting sqref="F158">
    <cfRule type="expression" dxfId="27" priority="32">
      <formula>+ISERROR($F$158)</formula>
    </cfRule>
  </conditionalFormatting>
  <conditionalFormatting sqref="F159">
    <cfRule type="expression" dxfId="26" priority="31">
      <formula>+ISERROR($F$159)</formula>
    </cfRule>
  </conditionalFormatting>
  <conditionalFormatting sqref="F161">
    <cfRule type="expression" dxfId="25" priority="30">
      <formula>+ISERROR($F$161)</formula>
    </cfRule>
  </conditionalFormatting>
  <conditionalFormatting sqref="F162">
    <cfRule type="expression" dxfId="24" priority="29">
      <formula>+ISERROR($F$162)</formula>
    </cfRule>
  </conditionalFormatting>
  <conditionalFormatting sqref="F163">
    <cfRule type="expression" dxfId="23" priority="28">
      <formula>+ISERROR($F$163)</formula>
    </cfRule>
  </conditionalFormatting>
  <conditionalFormatting sqref="D98">
    <cfRule type="expression" dxfId="22" priority="21">
      <formula>+IF(AND($D$96=1,$D$98&lt;0.0001),TRUE,FALSE)</formula>
    </cfRule>
    <cfRule type="expression" dxfId="21" priority="27">
      <formula>+IF($D$96=2,TRUE,FALSE)</formula>
    </cfRule>
  </conditionalFormatting>
  <conditionalFormatting sqref="D97">
    <cfRule type="expression" dxfId="20" priority="22">
      <formula>+IF(AND($D$96=1,$D$97&lt;0.0001),TRUE,FALSE)</formula>
    </cfRule>
    <cfRule type="expression" dxfId="19" priority="24">
      <formula>+IF(AND($D$96=2,$D$97&lt;0.0001),TRUE,FALSE)</formula>
    </cfRule>
  </conditionalFormatting>
  <conditionalFormatting sqref="D27:F29">
    <cfRule type="expression" dxfId="18" priority="20">
      <formula>+IF(OR($D$32&lt;0,$D$32=0),TRUE,FALSE)</formula>
    </cfRule>
  </conditionalFormatting>
  <conditionalFormatting sqref="D52">
    <cfRule type="cellIs" dxfId="17" priority="19" operator="lessThan">
      <formula>2</formula>
    </cfRule>
  </conditionalFormatting>
  <conditionalFormatting sqref="D60:F63">
    <cfRule type="expression" dxfId="16" priority="18">
      <formula>+IF(OR(SUM($D$65:$F$65)&lt;0,SUM($D$65:$F$65)=0),TRUE,FALSE)</formula>
    </cfRule>
  </conditionalFormatting>
  <conditionalFormatting sqref="D78:F81">
    <cfRule type="expression" dxfId="15" priority="17">
      <formula>+IF(OR(SUM($D$82:$F$82&lt;0.1),SUM($D$82:$F$82)=0),TRUE,FALSE)</formula>
    </cfRule>
  </conditionalFormatting>
  <conditionalFormatting sqref="D100">
    <cfRule type="cellIs" dxfId="14" priority="16" operator="lessThan">
      <formula>0</formula>
    </cfRule>
  </conditionalFormatting>
  <conditionalFormatting sqref="D102">
    <cfRule type="cellIs" dxfId="13" priority="5" operator="lessThan">
      <formula>0.001</formula>
    </cfRule>
    <cfRule type="cellIs" dxfId="12" priority="15" operator="lessThan">
      <formula>0</formula>
    </cfRule>
  </conditionalFormatting>
  <conditionalFormatting sqref="D158:E163">
    <cfRule type="expression" dxfId="11" priority="13">
      <formula>+IF($D$164&lt;0.1,TRUE,FALSE)</formula>
    </cfRule>
  </conditionalFormatting>
  <conditionalFormatting sqref="D39">
    <cfRule type="cellIs" dxfId="10" priority="12" operator="lessThan">
      <formula>6</formula>
    </cfRule>
  </conditionalFormatting>
  <conditionalFormatting sqref="C136">
    <cfRule type="expression" dxfId="9" priority="11">
      <formula>+IF($F$135=TRUE,TRUE,FALSE)</formula>
    </cfRule>
  </conditionalFormatting>
  <conditionalFormatting sqref="C137">
    <cfRule type="containsText" dxfId="8" priority="7" operator="containsText" text="Type IV">
      <formula>NOT(ISERROR(SEARCH("Type IV",C137)))</formula>
    </cfRule>
    <cfRule type="containsText" dxfId="7" priority="8" operator="containsText" text="Type III">
      <formula>NOT(ISERROR(SEARCH("Type III",C137)))</formula>
    </cfRule>
    <cfRule type="containsText" dxfId="6" priority="9" operator="containsText" text="Type II">
      <formula>NOT(ISERROR(SEARCH("Type II",C137)))</formula>
    </cfRule>
    <cfRule type="containsText" dxfId="5" priority="10" operator="containsText" text="Type I">
      <formula>NOT(ISERROR(SEARCH("Type I",C137)))</formula>
    </cfRule>
  </conditionalFormatting>
  <conditionalFormatting sqref="C195:G195">
    <cfRule type="expression" dxfId="4" priority="6">
      <formula>+IF($D$190*$E$190&gt;$D$187,TRUE,FALSE)</formula>
    </cfRule>
  </conditionalFormatting>
  <conditionalFormatting sqref="D186:E186">
    <cfRule type="expression" dxfId="3" priority="3">
      <formula>+IF($D$186*$E$186&lt;0.01,TRUE,FALSE)</formula>
    </cfRule>
  </conditionalFormatting>
  <conditionalFormatting sqref="D190:E190">
    <cfRule type="expression" dxfId="2" priority="2">
      <formula>+IF($D$190*$E$190&lt;0.1,TRUE,FALSE)</formula>
    </cfRule>
  </conditionalFormatting>
  <conditionalFormatting sqref="D155">
    <cfRule type="cellIs" dxfId="1" priority="1" operator="lessThan">
      <formula>0.01</formula>
    </cfRule>
  </conditionalFormatting>
  <pageMargins left="0.31496062992125984" right="0.31496062992125984" top="0.19685039370078741" bottom="0.35433070866141736" header="0.31496062992125984" footer="0.31496062992125984"/>
  <pageSetup paperSize="9" scale="48" fitToHeight="2" orientation="portrait" horizontalDpi="300" verticalDpi="300" r:id="rId1"/>
  <headerFooter>
    <oddFooter>&amp;R&amp;D</oddFooter>
  </headerFooter>
  <rowBreaks count="2" manualBreakCount="2">
    <brk id="107" max="8" man="1"/>
    <brk id="19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3</xdr:col>
                    <xdr:colOff>0</xdr:colOff>
                    <xdr:row>37</xdr:row>
                    <xdr:rowOff>9525</xdr:rowOff>
                  </from>
                  <to>
                    <xdr:col>4</xdr:col>
                    <xdr:colOff>676275</xdr:colOff>
                    <xdr:row>37</xdr:row>
                    <xdr:rowOff>247650</xdr:rowOff>
                  </to>
                </anchor>
              </controlPr>
            </control>
          </mc:Choice>
        </mc:AlternateContent>
        <mc:AlternateContent xmlns:mc="http://schemas.openxmlformats.org/markup-compatibility/2006">
          <mc:Choice Requires="x14">
            <control shapeId="1039" r:id="rId5" name="Drop Down 15">
              <controlPr defaultSize="0" autoLine="0" autoPict="0">
                <anchor moveWithCells="1">
                  <from>
                    <xdr:col>3</xdr:col>
                    <xdr:colOff>0</xdr:colOff>
                    <xdr:row>95</xdr:row>
                    <xdr:rowOff>0</xdr:rowOff>
                  </from>
                  <to>
                    <xdr:col>5</xdr:col>
                    <xdr:colOff>9525</xdr:colOff>
                    <xdr:row>95</xdr:row>
                    <xdr:rowOff>323850</xdr:rowOff>
                  </to>
                </anchor>
              </controlPr>
            </control>
          </mc:Choice>
        </mc:AlternateContent>
        <mc:AlternateContent xmlns:mc="http://schemas.openxmlformats.org/markup-compatibility/2006">
          <mc:Choice Requires="x14">
            <control shapeId="1040" r:id="rId6" name="Check Box 16">
              <controlPr defaultSize="0" autoFill="0" autoLine="0" autoPict="0" altText="   milieu intérieur">
                <anchor moveWithCells="1">
                  <from>
                    <xdr:col>6</xdr:col>
                    <xdr:colOff>857250</xdr:colOff>
                    <xdr:row>15</xdr:row>
                    <xdr:rowOff>85725</xdr:rowOff>
                  </from>
                  <to>
                    <xdr:col>6</xdr:col>
                    <xdr:colOff>1438275</xdr:colOff>
                    <xdr:row>16</xdr:row>
                    <xdr:rowOff>9525</xdr:rowOff>
                  </to>
                </anchor>
              </controlPr>
            </control>
          </mc:Choice>
        </mc:AlternateContent>
        <mc:AlternateContent xmlns:mc="http://schemas.openxmlformats.org/markup-compatibility/2006">
          <mc:Choice Requires="x14">
            <control shapeId="1041" r:id="rId7" name="Check Box 17">
              <controlPr defaultSize="0" autoFill="0" autoLine="0" autoPict="0" altText="   milieu intérieur">
                <anchor moveWithCells="1">
                  <from>
                    <xdr:col>6</xdr:col>
                    <xdr:colOff>2409825</xdr:colOff>
                    <xdr:row>15</xdr:row>
                    <xdr:rowOff>85725</xdr:rowOff>
                  </from>
                  <to>
                    <xdr:col>6</xdr:col>
                    <xdr:colOff>4762500</xdr:colOff>
                    <xdr:row>16</xdr:row>
                    <xdr:rowOff>19050</xdr:rowOff>
                  </to>
                </anchor>
              </controlPr>
            </control>
          </mc:Choice>
        </mc:AlternateContent>
        <mc:AlternateContent xmlns:mc="http://schemas.openxmlformats.org/markup-compatibility/2006">
          <mc:Choice Requires="x14">
            <control shapeId="1042" r:id="rId8" name="Check Box 18">
              <controlPr defaultSize="0" autoFill="0" autoLine="0" autoPict="0" altText="   milieu intérieur">
                <anchor moveWithCells="1">
                  <from>
                    <xdr:col>6</xdr:col>
                    <xdr:colOff>847725</xdr:colOff>
                    <xdr:row>19</xdr:row>
                    <xdr:rowOff>104775</xdr:rowOff>
                  </from>
                  <to>
                    <xdr:col>6</xdr:col>
                    <xdr:colOff>1428750</xdr:colOff>
                    <xdr:row>19</xdr:row>
                    <xdr:rowOff>276225</xdr:rowOff>
                  </to>
                </anchor>
              </controlPr>
            </control>
          </mc:Choice>
        </mc:AlternateContent>
        <mc:AlternateContent xmlns:mc="http://schemas.openxmlformats.org/markup-compatibility/2006">
          <mc:Choice Requires="x14">
            <control shapeId="1043" r:id="rId9" name="Check Box 19">
              <controlPr defaultSize="0" autoFill="0" autoLine="0" autoPict="0" altText="   milieu intérieur">
                <anchor moveWithCells="1">
                  <from>
                    <xdr:col>6</xdr:col>
                    <xdr:colOff>2400300</xdr:colOff>
                    <xdr:row>19</xdr:row>
                    <xdr:rowOff>104775</xdr:rowOff>
                  </from>
                  <to>
                    <xdr:col>6</xdr:col>
                    <xdr:colOff>4752975</xdr:colOff>
                    <xdr:row>19</xdr:row>
                    <xdr:rowOff>285750</xdr:rowOff>
                  </to>
                </anchor>
              </controlPr>
            </control>
          </mc:Choice>
        </mc:AlternateContent>
        <mc:AlternateContent xmlns:mc="http://schemas.openxmlformats.org/markup-compatibility/2006">
          <mc:Choice Requires="x14">
            <control shapeId="1044" r:id="rId10" name="Check Box 20">
              <controlPr defaultSize="0" autoFill="0" autoLine="0" autoPict="0" altText="   milieu intérieur">
                <anchor moveWithCells="1">
                  <from>
                    <xdr:col>6</xdr:col>
                    <xdr:colOff>847725</xdr:colOff>
                    <xdr:row>17</xdr:row>
                    <xdr:rowOff>57150</xdr:rowOff>
                  </from>
                  <to>
                    <xdr:col>6</xdr:col>
                    <xdr:colOff>1428750</xdr:colOff>
                    <xdr:row>18</xdr:row>
                    <xdr:rowOff>0</xdr:rowOff>
                  </to>
                </anchor>
              </controlPr>
            </control>
          </mc:Choice>
        </mc:AlternateContent>
        <mc:AlternateContent xmlns:mc="http://schemas.openxmlformats.org/markup-compatibility/2006">
          <mc:Choice Requires="x14">
            <control shapeId="1045" r:id="rId11" name="Check Box 21">
              <controlPr defaultSize="0" autoFill="0" autoLine="0" autoPict="0" altText="   milieu intérieur">
                <anchor moveWithCells="1">
                  <from>
                    <xdr:col>6</xdr:col>
                    <xdr:colOff>2400300</xdr:colOff>
                    <xdr:row>17</xdr:row>
                    <xdr:rowOff>57150</xdr:rowOff>
                  </from>
                  <to>
                    <xdr:col>6</xdr:col>
                    <xdr:colOff>4752975</xdr:colOff>
                    <xdr:row>18</xdr:row>
                    <xdr:rowOff>9525</xdr:rowOff>
                  </to>
                </anchor>
              </controlPr>
            </control>
          </mc:Choice>
        </mc:AlternateContent>
        <mc:AlternateContent xmlns:mc="http://schemas.openxmlformats.org/markup-compatibility/2006">
          <mc:Choice Requires="x14">
            <control shapeId="1046" r:id="rId12" name="Scroll Bar 22">
              <controlPr defaultSize="0" autoPict="0">
                <anchor moveWithCells="1">
                  <from>
                    <xdr:col>2</xdr:col>
                    <xdr:colOff>3743325</xdr:colOff>
                    <xdr:row>178</xdr:row>
                    <xdr:rowOff>0</xdr:rowOff>
                  </from>
                  <to>
                    <xdr:col>2</xdr:col>
                    <xdr:colOff>3914775</xdr:colOff>
                    <xdr:row>180</xdr:row>
                    <xdr:rowOff>19050</xdr:rowOff>
                  </to>
                </anchor>
              </controlPr>
            </control>
          </mc:Choice>
        </mc:AlternateContent>
        <mc:AlternateContent xmlns:mc="http://schemas.openxmlformats.org/markup-compatibility/2006">
          <mc:Choice Requires="x14">
            <control shapeId="1071" r:id="rId13" name="Check Box 47">
              <controlPr defaultSize="0" autoFill="0" autoLine="0" autoPict="0" altText="   milieu intérieur">
                <anchor moveWithCells="1">
                  <from>
                    <xdr:col>6</xdr:col>
                    <xdr:colOff>3543300</xdr:colOff>
                    <xdr:row>175</xdr:row>
                    <xdr:rowOff>57150</xdr:rowOff>
                  </from>
                  <to>
                    <xdr:col>6</xdr:col>
                    <xdr:colOff>4743450</xdr:colOff>
                    <xdr:row>175</xdr:row>
                    <xdr:rowOff>266700</xdr:rowOff>
                  </to>
                </anchor>
              </controlPr>
            </control>
          </mc:Choice>
        </mc:AlternateContent>
        <mc:AlternateContent xmlns:mc="http://schemas.openxmlformats.org/markup-compatibility/2006">
          <mc:Choice Requires="x14">
            <control shapeId="1073" r:id="rId14" name="Check Box 49">
              <controlPr defaultSize="0" autoFill="0" autoLine="0" autoPict="0" altText="   milieu intérieur">
                <anchor moveWithCells="1">
                  <from>
                    <xdr:col>6</xdr:col>
                    <xdr:colOff>4781550</xdr:colOff>
                    <xdr:row>175</xdr:row>
                    <xdr:rowOff>57150</xdr:rowOff>
                  </from>
                  <to>
                    <xdr:col>6</xdr:col>
                    <xdr:colOff>5876925</xdr:colOff>
                    <xdr:row>175</xdr:row>
                    <xdr:rowOff>266700</xdr:rowOff>
                  </to>
                </anchor>
              </controlPr>
            </control>
          </mc:Choice>
        </mc:AlternateContent>
        <mc:AlternateContent xmlns:mc="http://schemas.openxmlformats.org/markup-compatibility/2006">
          <mc:Choice Requires="x14">
            <control shapeId="1074" r:id="rId15" name="Check Box 50">
              <controlPr defaultSize="0" autoFill="0" autoLine="0" autoPict="0" altText="   milieu intérieur">
                <anchor moveWithCells="1">
                  <from>
                    <xdr:col>3</xdr:col>
                    <xdr:colOff>276225</xdr:colOff>
                    <xdr:row>133</xdr:row>
                    <xdr:rowOff>0</xdr:rowOff>
                  </from>
                  <to>
                    <xdr:col>3</xdr:col>
                    <xdr:colOff>847725</xdr:colOff>
                    <xdr:row>133</xdr:row>
                    <xdr:rowOff>200025</xdr:rowOff>
                  </to>
                </anchor>
              </controlPr>
            </control>
          </mc:Choice>
        </mc:AlternateContent>
        <mc:AlternateContent xmlns:mc="http://schemas.openxmlformats.org/markup-compatibility/2006">
          <mc:Choice Requires="x14">
            <control shapeId="1076" r:id="rId16" name="Check Box 52">
              <controlPr defaultSize="0" autoFill="0" autoLine="0" autoPict="0" altText="   milieu intérieur">
                <anchor moveWithCells="1">
                  <from>
                    <xdr:col>4</xdr:col>
                    <xdr:colOff>19050</xdr:colOff>
                    <xdr:row>133</xdr:row>
                    <xdr:rowOff>9525</xdr:rowOff>
                  </from>
                  <to>
                    <xdr:col>5</xdr:col>
                    <xdr:colOff>85725</xdr:colOff>
                    <xdr:row>134</xdr:row>
                    <xdr:rowOff>0</xdr:rowOff>
                  </to>
                </anchor>
              </controlPr>
            </control>
          </mc:Choice>
        </mc:AlternateContent>
        <mc:AlternateContent xmlns:mc="http://schemas.openxmlformats.org/markup-compatibility/2006">
          <mc:Choice Requires="x14">
            <control shapeId="1081" r:id="rId17" name="Check Box 57">
              <controlPr defaultSize="0" autoFill="0" autoLine="0" autoPict="0" altText="   milieu intérieur">
                <anchor moveWithCells="1">
                  <from>
                    <xdr:col>3</xdr:col>
                    <xdr:colOff>276225</xdr:colOff>
                    <xdr:row>134</xdr:row>
                    <xdr:rowOff>9525</xdr:rowOff>
                  </from>
                  <to>
                    <xdr:col>3</xdr:col>
                    <xdr:colOff>847725</xdr:colOff>
                    <xdr:row>135</xdr:row>
                    <xdr:rowOff>19050</xdr:rowOff>
                  </to>
                </anchor>
              </controlPr>
            </control>
          </mc:Choice>
        </mc:AlternateContent>
        <mc:AlternateContent xmlns:mc="http://schemas.openxmlformats.org/markup-compatibility/2006">
          <mc:Choice Requires="x14">
            <control shapeId="1083" r:id="rId18" name="Check Box 59">
              <controlPr defaultSize="0" autoFill="0" autoLine="0" autoPict="0" altText="   milieu intérieur">
                <anchor moveWithCells="1">
                  <from>
                    <xdr:col>4</xdr:col>
                    <xdr:colOff>19050</xdr:colOff>
                    <xdr:row>134</xdr:row>
                    <xdr:rowOff>9525</xdr:rowOff>
                  </from>
                  <to>
                    <xdr:col>5</xdr:col>
                    <xdr:colOff>238125</xdr:colOff>
                    <xdr:row>135</xdr:row>
                    <xdr:rowOff>19050</xdr:rowOff>
                  </to>
                </anchor>
              </controlPr>
            </control>
          </mc:Choice>
        </mc:AlternateContent>
        <mc:AlternateContent xmlns:mc="http://schemas.openxmlformats.org/markup-compatibility/2006">
          <mc:Choice Requires="x14">
            <control shapeId="1084" r:id="rId19" name="Check Box 60">
              <controlPr defaultSize="0" autoFill="0" autoLine="0" autoPict="0" altText="   milieu intérieur">
                <anchor moveWithCells="1">
                  <from>
                    <xdr:col>3</xdr:col>
                    <xdr:colOff>276225</xdr:colOff>
                    <xdr:row>135</xdr:row>
                    <xdr:rowOff>9525</xdr:rowOff>
                  </from>
                  <to>
                    <xdr:col>3</xdr:col>
                    <xdr:colOff>847725</xdr:colOff>
                    <xdr:row>136</xdr:row>
                    <xdr:rowOff>0</xdr:rowOff>
                  </to>
                </anchor>
              </controlPr>
            </control>
          </mc:Choice>
        </mc:AlternateContent>
        <mc:AlternateContent xmlns:mc="http://schemas.openxmlformats.org/markup-compatibility/2006">
          <mc:Choice Requires="x14">
            <control shapeId="1085" r:id="rId20" name="Check Box 61">
              <controlPr defaultSize="0" autoFill="0" autoLine="0" autoPict="0" altText="   milieu intérieur">
                <anchor moveWithCells="1">
                  <from>
                    <xdr:col>4</xdr:col>
                    <xdr:colOff>19050</xdr:colOff>
                    <xdr:row>135</xdr:row>
                    <xdr:rowOff>19050</xdr:rowOff>
                  </from>
                  <to>
                    <xdr:col>5</xdr:col>
                    <xdr:colOff>238125</xdr:colOff>
                    <xdr:row>136</xdr:row>
                    <xdr:rowOff>19050</xdr:rowOff>
                  </to>
                </anchor>
              </controlPr>
            </control>
          </mc:Choice>
        </mc:AlternateContent>
        <mc:AlternateContent xmlns:mc="http://schemas.openxmlformats.org/markup-compatibility/2006">
          <mc:Choice Requires="x14">
            <control shapeId="1086" r:id="rId21" name="Scroll Bar 62">
              <controlPr defaultSize="0" autoPict="0">
                <anchor moveWithCells="1">
                  <from>
                    <xdr:col>6</xdr:col>
                    <xdr:colOff>5629275</xdr:colOff>
                    <xdr:row>174</xdr:row>
                    <xdr:rowOff>66675</xdr:rowOff>
                  </from>
                  <to>
                    <xdr:col>6</xdr:col>
                    <xdr:colOff>5848350</xdr:colOff>
                    <xdr:row>174</xdr:row>
                    <xdr:rowOff>485775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9" operator="containsText" id="{A9D9EA00-5A40-4AB5-B424-81B98E81D71B}">
            <xm:f>NOT(ISERROR(SEARCH("-",D206)))</xm:f>
            <xm:f>"-"</xm:f>
            <x14:dxf>
              <font>
                <color rgb="FF9C6500"/>
              </font>
              <fill>
                <patternFill>
                  <bgColor rgb="FFFFEB9C"/>
                </patternFill>
              </fill>
            </x14:dxf>
          </x14:cfRule>
          <xm:sqref>D206:E206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C12" sqref="C12"/>
    </sheetView>
  </sheetViews>
  <sheetFormatPr baseColWidth="10" defaultRowHeight="12.75" x14ac:dyDescent="0.2"/>
  <sheetData>
    <row r="1" spans="1:4" x14ac:dyDescent="0.2">
      <c r="A1">
        <v>1</v>
      </c>
      <c r="B1">
        <v>2</v>
      </c>
      <c r="C1">
        <v>6</v>
      </c>
      <c r="D1">
        <v>10</v>
      </c>
    </row>
    <row r="2" spans="1:4" x14ac:dyDescent="0.2">
      <c r="A2">
        <v>2</v>
      </c>
      <c r="B2">
        <v>3</v>
      </c>
      <c r="C2">
        <v>10</v>
      </c>
      <c r="D2">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baseColWidth="10" defaultRowHeight="12.75" x14ac:dyDescent="0.2"/>
  <sheetData>
    <row r="1" spans="1:2" x14ac:dyDescent="0.2">
      <c r="A1">
        <v>1</v>
      </c>
      <c r="B1" t="s">
        <v>26</v>
      </c>
    </row>
    <row r="2" spans="1:2" x14ac:dyDescent="0.2">
      <c r="A2">
        <v>2</v>
      </c>
      <c r="B2"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6"/>
  <sheetViews>
    <sheetView workbookViewId="0">
      <selection activeCell="I2" sqref="I2"/>
    </sheetView>
  </sheetViews>
  <sheetFormatPr baseColWidth="10" defaultRowHeight="12.75" x14ac:dyDescent="0.2"/>
  <cols>
    <col min="8" max="8" width="12.5" bestFit="1" customWidth="1"/>
  </cols>
  <sheetData>
    <row r="1" spans="3:12" x14ac:dyDescent="0.2">
      <c r="C1" t="s">
        <v>19</v>
      </c>
      <c r="D1" t="s">
        <v>18</v>
      </c>
    </row>
    <row r="2" spans="3:12" x14ac:dyDescent="0.2">
      <c r="C2">
        <v>4000</v>
      </c>
      <c r="D2">
        <v>17</v>
      </c>
      <c r="H2">
        <v>260</v>
      </c>
      <c r="I2" s="54">
        <f>IF(H2&lt;2001,221.73*POWER(H2,-0.942),85.538*POWER(H3,-0.196))</f>
        <v>1.1773878863073624</v>
      </c>
      <c r="K2" t="s">
        <v>20</v>
      </c>
    </row>
    <row r="3" spans="3:12" x14ac:dyDescent="0.2">
      <c r="C3">
        <v>8000</v>
      </c>
      <c r="D3">
        <v>15</v>
      </c>
      <c r="H3" s="56">
        <v>80000</v>
      </c>
      <c r="I3" s="55">
        <f>85.538*POWER(H3,-0.196)</f>
        <v>9.3573624998274401</v>
      </c>
    </row>
    <row r="4" spans="3:12" ht="15" x14ac:dyDescent="0.2">
      <c r="C4">
        <v>20000</v>
      </c>
      <c r="D4">
        <v>12</v>
      </c>
      <c r="I4" s="53" t="s">
        <v>21</v>
      </c>
    </row>
    <row r="5" spans="3:12" ht="15" x14ac:dyDescent="0.2">
      <c r="C5">
        <v>44000</v>
      </c>
      <c r="D5">
        <v>10</v>
      </c>
      <c r="I5" s="53" t="s">
        <v>22</v>
      </c>
    </row>
    <row r="6" spans="3:12" x14ac:dyDescent="0.2">
      <c r="C6">
        <v>64000</v>
      </c>
      <c r="D6">
        <v>9.9</v>
      </c>
    </row>
    <row r="7" spans="3:12" x14ac:dyDescent="0.2">
      <c r="C7">
        <v>80000</v>
      </c>
      <c r="D7">
        <v>9.8000000000000007</v>
      </c>
    </row>
    <row r="9" spans="3:12" x14ac:dyDescent="0.2">
      <c r="L9">
        <f>0.000000000001*1</f>
        <v>9.9999999999999998E-13</v>
      </c>
    </row>
    <row r="16" spans="3:12" x14ac:dyDescent="0.2">
      <c r="C16" s="5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5" sqref="K15"/>
    </sheetView>
  </sheetViews>
  <sheetFormatPr baseColWidth="10"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27</vt:i4>
      </vt:variant>
    </vt:vector>
  </HeadingPairs>
  <TitlesOfParts>
    <vt:vector size="32" baseType="lpstr">
      <vt:lpstr>Bilan aéraulique simplifié</vt:lpstr>
      <vt:lpstr>Niveau d'empoussièrement</vt:lpstr>
      <vt:lpstr>Entrée d'air</vt:lpstr>
      <vt:lpstr>Feuil1</vt:lpstr>
      <vt:lpstr>Feuil2</vt:lpstr>
      <vt:lpstr>Danf</vt:lpstr>
      <vt:lpstr>Danfarrond</vt:lpstr>
      <vt:lpstr>Dea</vt:lpstr>
      <vt:lpstr>DEc</vt:lpstr>
      <vt:lpstr>Dectotal</vt:lpstr>
      <vt:lpstr>DEnm</vt:lpstr>
      <vt:lpstr>Dep</vt:lpstr>
      <vt:lpstr>Ds</vt:lpstr>
      <vt:lpstr>Dsd</vt:lpstr>
      <vt:lpstr>DsDtotal</vt:lpstr>
      <vt:lpstr>Dstotal</vt:lpstr>
      <vt:lpstr>DtEm</vt:lpstr>
      <vt:lpstr>Dz</vt:lpstr>
      <vt:lpstr>Dzone2</vt:lpstr>
      <vt:lpstr>Dzone3</vt:lpstr>
      <vt:lpstr>H</vt:lpstr>
      <vt:lpstr>K</vt:lpstr>
      <vt:lpstr>niveau</vt:lpstr>
      <vt:lpstr>temps_douche</vt:lpstr>
      <vt:lpstr>temps_douche_déchets</vt:lpstr>
      <vt:lpstr>TF</vt:lpstr>
      <vt:lpstr>V</vt:lpstr>
      <vt:lpstr>Va</vt:lpstr>
      <vt:lpstr>Vol_déchets</vt:lpstr>
      <vt:lpstr>Y</vt:lpstr>
      <vt:lpstr>Z</vt:lpstr>
      <vt:lpstr>'Bilan aéraulique simplifié'!Zone_d_impression</vt:lpstr>
    </vt:vector>
  </TitlesOfParts>
  <Company>CNAV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F3291</dc:creator>
  <cp:lastModifiedBy>F3291</cp:lastModifiedBy>
  <cp:lastPrinted>2016-02-10T16:29:32Z</cp:lastPrinted>
  <dcterms:created xsi:type="dcterms:W3CDTF">2013-02-08T06:20:54Z</dcterms:created>
  <dcterms:modified xsi:type="dcterms:W3CDTF">2016-02-10T16:42:55Z</dcterms:modified>
</cp:coreProperties>
</file>